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4790" windowHeight="8700" tabRatio="827" activeTab="5"/>
  </bookViews>
  <sheets>
    <sheet name="pembangunan" sheetId="1" r:id="rId1"/>
    <sheet name="JANUARI" sheetId="2" r:id="rId2"/>
    <sheet name="FEBRUARI" sheetId="3" r:id="rId3"/>
    <sheet name="MARET" sheetId="4" r:id="rId4"/>
    <sheet name="APRIL" sheetId="5" r:id="rId5"/>
    <sheet name="ME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<sst xmlns="http://schemas.openxmlformats.org/spreadsheetml/2006/main" count="6409" uniqueCount="325">
  <si>
    <t>NO</t>
  </si>
  <si>
    <t>SUMBER DANA</t>
  </si>
  <si>
    <t>TARGET</t>
  </si>
  <si>
    <t>MULAI</t>
  </si>
  <si>
    <t>%</t>
  </si>
  <si>
    <t>v</t>
  </si>
  <si>
    <t>BELANJA LANGSUNG</t>
  </si>
  <si>
    <t>TOTAL ANGGARAN</t>
  </si>
  <si>
    <t>SETDA KABUPATEN LUMAJANG</t>
  </si>
  <si>
    <t>BENDAHARA PENGELUARAN PEMBANTU</t>
  </si>
  <si>
    <t>KODE KGTN</t>
  </si>
  <si>
    <t>PAD (Rp)</t>
  </si>
  <si>
    <t>DAU (Rp)</t>
  </si>
  <si>
    <t>DAK (Rp)</t>
  </si>
  <si>
    <t>SISA KONTRAK (Rp)</t>
  </si>
  <si>
    <t>JUMLAH        Rp            (18+19)</t>
  </si>
  <si>
    <t>PROGRAM PELAYANAN ADMINISTRASI PERKANTORAN</t>
  </si>
  <si>
    <t>PROGRAM PENINGKATAN SARANA DAN PRASARANA APARATUR</t>
  </si>
  <si>
    <t>I</t>
  </si>
  <si>
    <t>II</t>
  </si>
  <si>
    <t>III</t>
  </si>
  <si>
    <t>NAMA PPTK/ PPK</t>
  </si>
  <si>
    <t>Mengetahui,</t>
  </si>
  <si>
    <t>SELE-SAI</t>
  </si>
  <si>
    <t>BLN. INI       (Rp)</t>
  </si>
  <si>
    <t>BLN. LALU       (Rp)</t>
  </si>
  <si>
    <t>PELAKS. PEKERJ. SWAKELOLA/REKANAN</t>
  </si>
  <si>
    <t>NAMA PROGRAM/KEGIATAN</t>
  </si>
  <si>
    <t>-</t>
  </si>
  <si>
    <t>LO- KASI</t>
  </si>
  <si>
    <t>KEU. (Rp)</t>
  </si>
  <si>
    <t>KGTN. (%)</t>
  </si>
  <si>
    <t>REALISASI KEUANGAN</t>
  </si>
  <si>
    <t>REAL. KGTN. (%)</t>
  </si>
  <si>
    <t>KET.</t>
  </si>
  <si>
    <t>SISA ANGGARAN (Rp)         (10+20)</t>
  </si>
  <si>
    <t>VOL.</t>
  </si>
  <si>
    <t>Lmj.</t>
  </si>
  <si>
    <t>WKT. PELAKS.</t>
  </si>
  <si>
    <t xml:space="preserve"> </t>
  </si>
  <si>
    <t>Plt. KEPALA BAGIAN RUMAH TANGGA DAN PROTOKOL</t>
  </si>
  <si>
    <t>LILIK SOEJANTI, S.H.</t>
  </si>
  <si>
    <t>NAMA KEGIATAN/PEKERJAAN</t>
  </si>
  <si>
    <t>PAGU</t>
  </si>
  <si>
    <t>VOLUME</t>
  </si>
  <si>
    <t>PELAKSANA</t>
  </si>
  <si>
    <t>KONTRAK</t>
  </si>
  <si>
    <t>SELESAI</t>
  </si>
  <si>
    <t>REALISASI</t>
  </si>
  <si>
    <t>FISIK (%)</t>
  </si>
  <si>
    <t>KEU (Rp)</t>
  </si>
  <si>
    <t>DATA REALISASI PELAKSANAAN KEGIATAN FISIK TAHUN 2016</t>
  </si>
  <si>
    <t>Pemeliharaan rutin/berkala rumah jabatan pada bagian rumah tangga dan protokol setda Kabupaten Lumajang pekerjaan pemeliharaan bangunan rumah jabatan Bupati dan Wakil Bupati Lumajang</t>
  </si>
  <si>
    <t>CV ANDIKA BAKTI</t>
  </si>
  <si>
    <t>1 pkt</t>
  </si>
  <si>
    <t>Kab. Lumajang</t>
  </si>
  <si>
    <t>10/10/2016</t>
  </si>
  <si>
    <t xml:space="preserve">Rehabilitasi sedang/berat rumah jabatan pada bagian rumah tangga dan protokol setda Kabupaten Lumajang </t>
  </si>
  <si>
    <t>CV YANG ABADI</t>
  </si>
  <si>
    <t>CV REMAJA KARYA</t>
  </si>
  <si>
    <t>PERIODE : S.D. BULAN NOVEMBER 2016</t>
  </si>
  <si>
    <t>LOKASI/KEC.</t>
  </si>
  <si>
    <t>WAKTU PELAKSANAAN</t>
  </si>
  <si>
    <t>27/07/2016</t>
  </si>
  <si>
    <t>08/08/2016</t>
  </si>
  <si>
    <t>06/09/2016</t>
  </si>
  <si>
    <t>NIP 19611118 199403 2 002</t>
  </si>
  <si>
    <t>SKPD : BAGIAN RUMAH TANGGA DAN PROTOKOL SETDA KABUPATEN LUMAJANG</t>
  </si>
  <si>
    <t>Lumajang, 30 November 2016</t>
  </si>
  <si>
    <t xml:space="preserve">PREDIKSI REALISASI PELAKSANAAN PROGRAM/KEGIATAN PADA SATUAN KERJA PERANGKAT DAERAH </t>
  </si>
  <si>
    <t>26/09/2016</t>
  </si>
  <si>
    <t>01/08/2016</t>
  </si>
  <si>
    <t>KETERANGAN</t>
  </si>
  <si>
    <t>dalam proses</t>
  </si>
  <si>
    <t>Pemeliharaan rutin/berkala taman pada bagian rumah tangga dan protokol setda Kabupaten Lumajang Pekerjaan pengecatan taman rumah Bupati dan pengecatan taman rumah Wakil Bupati</t>
  </si>
  <si>
    <t>Herry</t>
  </si>
  <si>
    <t>lmj</t>
  </si>
  <si>
    <t>16.013</t>
  </si>
  <si>
    <t>swakelola</t>
  </si>
  <si>
    <t>BELANJA BARANG DAN JASA</t>
  </si>
  <si>
    <t>Belanja jasa kantor</t>
  </si>
  <si>
    <t>Belanja penggantian transport</t>
  </si>
  <si>
    <t>Pelayanan Administrasi dan Operasional Perkantoran</t>
  </si>
  <si>
    <t>BELANJA PEGAWAI</t>
  </si>
  <si>
    <t>Honoraruim PNS</t>
  </si>
  <si>
    <t>Honorarium pengadaan barang/jasa</t>
  </si>
  <si>
    <t>Honoraruium penerima hasil pekerjaan</t>
  </si>
  <si>
    <t>Belanja Bahan Pakai Habis</t>
  </si>
  <si>
    <t>Belanja Perangko, material, dan benda pos lainya</t>
  </si>
  <si>
    <t>Belanja Peralatan Kebersihan dan bahan pembersih</t>
  </si>
  <si>
    <t>Belanja telepon</t>
  </si>
  <si>
    <t>Belanja Premi Asuransi</t>
  </si>
  <si>
    <t>Belanja Cetak dan Penggandaan</t>
  </si>
  <si>
    <t>Belanja Perjalanan Dinas</t>
  </si>
  <si>
    <t>Belanja Upah / Ongkos Tenaga Kerja</t>
  </si>
  <si>
    <t>Belanja tambahan upah tenaga kerja bulanan</t>
  </si>
  <si>
    <t>Pemeliharaan Ruti / Berkala Sarana dan Prasarana Aparatur</t>
  </si>
  <si>
    <t>Belanja Perawatan Kendaraan Bermotor</t>
  </si>
  <si>
    <t>Belanja Bahan Bakar minyak Dan Pelumas</t>
  </si>
  <si>
    <t>Belanja Upah / ongkos Tenaga Kerja bulanan</t>
  </si>
  <si>
    <t>Belanja Pemeliharaan Komputer</t>
  </si>
  <si>
    <t>Belanja Pemeliharaan Perosnal Komputer</t>
  </si>
  <si>
    <t>PROGRAM PENINGKATAN PELAYANAN KEDINASAN KEPALA DAERAH / WAKIL KEPALA DAERAH</t>
  </si>
  <si>
    <t>Dialog / Audensi dengan Tokoh - tokoh Masyarakat, Pimpinan / Anggota Organisai Sosial dan Kemasyarakatan</t>
  </si>
  <si>
    <t>Belanja Penggatian Transport</t>
  </si>
  <si>
    <t>Belanja Makanan Dan Minuman</t>
  </si>
  <si>
    <t>Belanja Jasa Kantor</t>
  </si>
  <si>
    <t>01.021</t>
  </si>
  <si>
    <t>001.002</t>
  </si>
  <si>
    <t>001.005</t>
  </si>
  <si>
    <t>003.001</t>
  </si>
  <si>
    <t>1. 001</t>
  </si>
  <si>
    <t>2.001</t>
  </si>
  <si>
    <t>001.004</t>
  </si>
  <si>
    <t>2.003</t>
  </si>
  <si>
    <t>003.006</t>
  </si>
  <si>
    <t>2.004</t>
  </si>
  <si>
    <t>2.006</t>
  </si>
  <si>
    <t>006.002</t>
  </si>
  <si>
    <t>2.015</t>
  </si>
  <si>
    <t>015.001</t>
  </si>
  <si>
    <t>015.002</t>
  </si>
  <si>
    <t>2.021</t>
  </si>
  <si>
    <t>021.003</t>
  </si>
  <si>
    <t>021.005</t>
  </si>
  <si>
    <t>02.046</t>
  </si>
  <si>
    <t>2.005</t>
  </si>
  <si>
    <t>005.001</t>
  </si>
  <si>
    <t>2.125</t>
  </si>
  <si>
    <t>125.002</t>
  </si>
  <si>
    <t>16.001</t>
  </si>
  <si>
    <t>.003.024</t>
  </si>
  <si>
    <t>2.011</t>
  </si>
  <si>
    <t>011.002</t>
  </si>
  <si>
    <t>001.001</t>
  </si>
  <si>
    <t>003.013</t>
  </si>
  <si>
    <t>006.001</t>
  </si>
  <si>
    <t>003.024</t>
  </si>
  <si>
    <t>011.001</t>
  </si>
  <si>
    <t>jan</t>
  </si>
  <si>
    <t>12 bl</t>
  </si>
  <si>
    <t>feb</t>
  </si>
  <si>
    <t>Honorarium Pengurus Barang</t>
  </si>
  <si>
    <t>004.003</t>
  </si>
  <si>
    <t>DI LINGKUNGAN PEMERINTAH KABUPATEN LUMAJANG TAHUN ANGGARAN 2019</t>
  </si>
  <si>
    <t>Honorarium Pengguna Anggaran</t>
  </si>
  <si>
    <t>001.047</t>
  </si>
  <si>
    <t>001.048</t>
  </si>
  <si>
    <t>Honorarium pejabat pelaksana teknis kegiatan</t>
  </si>
  <si>
    <t>Honorarium PNS</t>
  </si>
  <si>
    <t>Belanja pemeliharaan alat reproduksi (pengganda)</t>
  </si>
  <si>
    <t>Belanja pemeliharaan alat rumah tangga</t>
  </si>
  <si>
    <t>Belanja Pemeliharaan Peralatan Perosnal Komputer</t>
  </si>
  <si>
    <t>NIP 19840502 201001 2 004</t>
  </si>
  <si>
    <t>Lap. Real. Pemb. 2019</t>
  </si>
  <si>
    <t>MIRANTHA SARI HARPIDINA</t>
  </si>
  <si>
    <t>ARI MURCONO, S.STP., M. Si</t>
  </si>
  <si>
    <t>NIP 19780216 199703 1 001</t>
  </si>
  <si>
    <t>PLAFON ANGGARAN SETELAH PERUBAHAN</t>
  </si>
  <si>
    <t>Uang lembur PNS</t>
  </si>
  <si>
    <t>Uang lembur</t>
  </si>
  <si>
    <t>003</t>
  </si>
  <si>
    <t>PERIODE :BULAN JANUARI 2020</t>
  </si>
  <si>
    <t>BELANJA</t>
  </si>
  <si>
    <t>BELANJA TIDAK LANGSUNG</t>
  </si>
  <si>
    <t>Gaji dan Tunjangan</t>
  </si>
  <si>
    <t>Gaji pokok PNS / uang representasi</t>
  </si>
  <si>
    <t>Tunjangan keluarga</t>
  </si>
  <si>
    <t>Tunjangan jabatan</t>
  </si>
  <si>
    <t>Tunjangan beras</t>
  </si>
  <si>
    <t>Tunjangan PPh/tunjangan khusus</t>
  </si>
  <si>
    <t>Pembulatan gaji</t>
  </si>
  <si>
    <t>Iuran jaminan kecelakaan kerja dan jaminan kematian</t>
  </si>
  <si>
    <t>Belanja Penerimaan lainnya Pimpinan dan Anggota DPRD serta KDH/WKDH</t>
  </si>
  <si>
    <t>Belanja penunjang operasional Bupati/Wakil Bupati</t>
  </si>
  <si>
    <t>LMJ</t>
  </si>
  <si>
    <t>ARI</t>
  </si>
  <si>
    <t>Honorarium Bendahara</t>
  </si>
  <si>
    <t>Honorarium petugas pengelola sistem akuntansi</t>
  </si>
  <si>
    <t>001.052</t>
  </si>
  <si>
    <t>001.054</t>
  </si>
  <si>
    <t>Ricko</t>
  </si>
  <si>
    <t>Belanja alat tulis kantor</t>
  </si>
  <si>
    <t>Belanja bahan bakar minyak/gas</t>
  </si>
  <si>
    <t>Belanja air</t>
  </si>
  <si>
    <t>Belanja listrik</t>
  </si>
  <si>
    <t>Belanja surat kabar/majalah</t>
  </si>
  <si>
    <t>Belanja kawat/faksimili/internet</t>
  </si>
  <si>
    <t>Belanja jasa pemeliharaan kesehatan bupati/wakil bupati</t>
  </si>
  <si>
    <t>Belanja retribusi pelayanan persampahan</t>
  </si>
  <si>
    <t>Belanja premi asuransi kesehatan</t>
  </si>
  <si>
    <t>Belanja premi asuransi ketenagakerjaan</t>
  </si>
  <si>
    <t>Belanja cetak</t>
  </si>
  <si>
    <t>Belanja penggandaan/foto copy/penjilidan/penyampulan</t>
  </si>
  <si>
    <t>Belanja Pakaian Dinas dan Atributnya</t>
  </si>
  <si>
    <t>Belanja pakaian sipil harian (PSH)</t>
  </si>
  <si>
    <t>Belanja pakaian sipil lengkap (PSL)</t>
  </si>
  <si>
    <t>Belanja pakaian dinas upacara (PDU)</t>
  </si>
  <si>
    <t>Belanja pakaian sipil resmi (PSR)</t>
  </si>
  <si>
    <t>Belanja Pakaian Khusus Hari-hari Tertentu</t>
  </si>
  <si>
    <t>Belanja pakaian adat daerah</t>
  </si>
  <si>
    <t>Belanja pakaian kegiatan tertentu</t>
  </si>
  <si>
    <t>Belanja perjalanan dinas dalam daerah</t>
  </si>
  <si>
    <t>Belanja perjalanan dinas luar daerah</t>
  </si>
  <si>
    <t>Belanja Upah/Ongkos Tenaga Kerja</t>
  </si>
  <si>
    <t>Belanja upah/ongkos tenaga kerja bulanan</t>
  </si>
  <si>
    <t>001.006</t>
  </si>
  <si>
    <t>003.002</t>
  </si>
  <si>
    <t>003.003</t>
  </si>
  <si>
    <t>003.005</t>
  </si>
  <si>
    <t>003.018</t>
  </si>
  <si>
    <t>003.042</t>
  </si>
  <si>
    <t>004.001</t>
  </si>
  <si>
    <t>2.012</t>
  </si>
  <si>
    <t>012.002</t>
  </si>
  <si>
    <t>012.003</t>
  </si>
  <si>
    <t>012.005</t>
  </si>
  <si>
    <t>012.006</t>
  </si>
  <si>
    <t>2.014</t>
  </si>
  <si>
    <t>014.002</t>
  </si>
  <si>
    <t>014.006</t>
  </si>
  <si>
    <t>Penyedia</t>
  </si>
  <si>
    <t>Honorarium Non PNS</t>
  </si>
  <si>
    <t>Honorarium pegawai honorer/tidak tetap</t>
  </si>
  <si>
    <t>Uang lembur non PNS</t>
  </si>
  <si>
    <t>1.002</t>
  </si>
  <si>
    <t>002.002</t>
  </si>
  <si>
    <t>1.003</t>
  </si>
  <si>
    <t>Belanja Pemeliharaan Alat-Alat Bantu</t>
  </si>
  <si>
    <t>Belanja pemeliharaan electric generating set</t>
  </si>
  <si>
    <t>Belanja pemeliharaan pompa</t>
  </si>
  <si>
    <t>2.112</t>
  </si>
  <si>
    <t>112.003</t>
  </si>
  <si>
    <t>112.004</t>
  </si>
  <si>
    <t>Belanja Pemeliharaan Alat Kantor</t>
  </si>
  <si>
    <t>2.123</t>
  </si>
  <si>
    <t>123.003</t>
  </si>
  <si>
    <t>Belanja pemeliharaan meubelair</t>
  </si>
  <si>
    <t>Belanja pemeliharaan alat pembersih</t>
  </si>
  <si>
    <t>Belanja pemeliharaan alat pendingin</t>
  </si>
  <si>
    <t>Belanja pemeliharaan alat dapur</t>
  </si>
  <si>
    <t>Belanja pemeliharaan home use</t>
  </si>
  <si>
    <t>124.001</t>
  </si>
  <si>
    <t>124.003</t>
  </si>
  <si>
    <t>124.005</t>
  </si>
  <si>
    <t>124.006</t>
  </si>
  <si>
    <t>Belanja Makanan Dan Minuman rapat</t>
  </si>
  <si>
    <t>Kunjungan Kerja/Inspeksi Kepala Daerah/Wakil Kepala Daerah</t>
  </si>
  <si>
    <t>Koordinasi dengan Pemerintah Pusat dan Pemerintah Daerah Lainnya</t>
  </si>
  <si>
    <t>Belanja perjalanan dinas luar negeri</t>
  </si>
  <si>
    <t>015.003</t>
  </si>
  <si>
    <t>Penyediaan Kebutuhan Rumah Tangga Kepala Daerah/Wakil Kepala Daerah</t>
  </si>
  <si>
    <t>Belanja Bahan Pakai habis</t>
  </si>
  <si>
    <t>Belanja alat listrik dan elektronik (lampu pijar, bateray kering)</t>
  </si>
  <si>
    <t>Belanja peralatan kebersihan dan bahan pembersih</t>
  </si>
  <si>
    <t>Belanja pengisian tabung gas</t>
  </si>
  <si>
    <t>Belanja Bahan / Material</t>
  </si>
  <si>
    <t>Belanja bahan makanan</t>
  </si>
  <si>
    <t>Belanja jasa laundry</t>
  </si>
  <si>
    <t>Belanja Makanan dan Minuman</t>
  </si>
  <si>
    <t>Belanja makanan dan minuman tamu</t>
  </si>
  <si>
    <t>Belanja Alat Rumah Tangga</t>
  </si>
  <si>
    <t>Belanja meubelair</t>
  </si>
  <si>
    <t>Belanja alat dapur</t>
  </si>
  <si>
    <t>BELANJA MODAL PERALATAN DAN MESIN</t>
  </si>
  <si>
    <t>Belanja Modal Alat Rumah Tangga</t>
  </si>
  <si>
    <t>Belanja modal meubelair</t>
  </si>
  <si>
    <t>001.003</t>
  </si>
  <si>
    <t>001.008</t>
  </si>
  <si>
    <t>2.002</t>
  </si>
  <si>
    <t>002.006</t>
  </si>
  <si>
    <t>003.028</t>
  </si>
  <si>
    <t>2.050</t>
  </si>
  <si>
    <t>050.001</t>
  </si>
  <si>
    <t>050.005</t>
  </si>
  <si>
    <t>4.015</t>
  </si>
  <si>
    <t>Pelayanan Keprotokolan Kepala Daerah/Wakil Kepala Daerah</t>
  </si>
  <si>
    <t>Belanja perlengkapan praktek/sosialisasi/pelatihan/bimtek</t>
  </si>
  <si>
    <t>Belanja dokumentasi</t>
  </si>
  <si>
    <t>Belanja dekorasi</t>
  </si>
  <si>
    <t>Belanja jasa instruktur/narasumber/tenaga ahli</t>
  </si>
  <si>
    <t>Belanja jasa pendukung kegiatan</t>
  </si>
  <si>
    <t>Belanja Sewa Rumah/Gedung/Gudang/Parkir/Tempat</t>
  </si>
  <si>
    <t>Belanja sewa ruang rapat/pertemuan</t>
  </si>
  <si>
    <t>Belanja makanan dan minuman rapat</t>
  </si>
  <si>
    <t>Belanja Alat Komunikasi</t>
  </si>
  <si>
    <t>Belanja alat komunikasi telephone</t>
  </si>
  <si>
    <t>Belanja Modal Alat Komunikasi</t>
  </si>
  <si>
    <t>Belanja modal alat komunikasi telephone</t>
  </si>
  <si>
    <t>002.009</t>
  </si>
  <si>
    <t>003.014</t>
  </si>
  <si>
    <t>003.025</t>
  </si>
  <si>
    <t>003.026</t>
  </si>
  <si>
    <t>2.007</t>
  </si>
  <si>
    <t>007.003</t>
  </si>
  <si>
    <t>2.054</t>
  </si>
  <si>
    <t>054.001</t>
  </si>
  <si>
    <t>4.019</t>
  </si>
  <si>
    <t>019.001</t>
  </si>
  <si>
    <t>Swakelola</t>
  </si>
  <si>
    <t>NILAI KON-   TRAK           ( Rp )</t>
  </si>
  <si>
    <t>1.001</t>
  </si>
  <si>
    <t>001.007</t>
  </si>
  <si>
    <t>001.021</t>
  </si>
  <si>
    <t xml:space="preserve"> KEPALA BAGIAN RUMAH TANGGA DAN PROTOKOL</t>
  </si>
  <si>
    <t>Lumajang, 07 Februari 2020</t>
  </si>
  <si>
    <t>1 bl</t>
  </si>
  <si>
    <t>3 bl</t>
  </si>
  <si>
    <t>2 bl</t>
  </si>
  <si>
    <t>mar</t>
  </si>
  <si>
    <t>9 bl</t>
  </si>
  <si>
    <t>Lumajang, 03 Maret 2020</t>
  </si>
  <si>
    <t>PERIODE :BULAN FEBRUARI 2020</t>
  </si>
  <si>
    <t>PERIODE :BULAN MARET 2020</t>
  </si>
  <si>
    <t>JAN</t>
  </si>
  <si>
    <t>PERIODE :BULAN APRIL 2020</t>
  </si>
  <si>
    <t>Lumajang, 03 April  2020</t>
  </si>
  <si>
    <t>Lumajang,  5 Mei 2020</t>
  </si>
  <si>
    <t>apr</t>
  </si>
  <si>
    <t>PERIODE :BULAN MEI 2020</t>
  </si>
  <si>
    <t>Mei</t>
  </si>
  <si>
    <t>mei</t>
  </si>
  <si>
    <t>ags</t>
  </si>
  <si>
    <t>nov</t>
  </si>
  <si>
    <t>Lumajang,  4 Juni  2020</t>
  </si>
</sst>
</file>

<file path=xl/styles.xml><?xml version="1.0" encoding="utf-8"?>
<styleSheet xmlns="http://schemas.openxmlformats.org/spreadsheetml/2006/main">
  <numFmts count="4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0_);_(* \(#,##0.00\);_(* &quot;-&quot;_);_(@_)"/>
    <numFmt numFmtId="180" formatCode="_(* #,##0.0_);_(* \(#,##0.0\);_(* &quot;-&quot;_);_(@_)"/>
    <numFmt numFmtId="181" formatCode="_([$Rp-421]* #,##0_);_([$Rp-421]* \(#,##0\);_([$Rp-421]* &quot;-&quot;_);_(@_)"/>
    <numFmt numFmtId="182" formatCode="_(* #,##0_);_(* \(#,##0\);_(* \-_);_(@_)"/>
    <numFmt numFmtId="183" formatCode="_(* #,##0_);_(* \(#,##0\);_(* \-??_);_(@_)"/>
    <numFmt numFmtId="184" formatCode="_(* #,##0.0_);_(* \(#,##0.0\);_(* &quot;-&quot;??_);_(@_)"/>
    <numFmt numFmtId="185" formatCode="[$-409]dddd\,\ mmmm\ dd\,\ yyyy"/>
    <numFmt numFmtId="186" formatCode="[$-409]h:mm:ss\ AM/PM"/>
    <numFmt numFmtId="187" formatCode="_(* #,##0.000_);_(* \(#,##0.000\);_(* &quot;-&quot;??_);_(@_)"/>
    <numFmt numFmtId="188" formatCode="_(* #,##0.000_);_(* \(#,##0.000\);_(* &quot;-&quot;_);_(@_)"/>
    <numFmt numFmtId="189" formatCode="_(* #,##0.0_);_(* \(#,##0.0\);_(* \-_);_(@_)"/>
    <numFmt numFmtId="190" formatCode="_(* #,##0.00_);_(* \(#,##0.00\);_(* \-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21]dd\ mmmm\ yyyy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"/>
  </numFmts>
  <fonts count="5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6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80000"/>
      <name val="Arial Narrow"/>
      <family val="2"/>
    </font>
    <font>
      <sz val="9"/>
      <color rgb="FF08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169" fontId="1" fillId="0" borderId="10" xfId="0" applyNumberFormat="1" applyFont="1" applyBorder="1" applyAlignment="1">
      <alignment horizontal="center" vertical="top"/>
    </xf>
    <xf numFmtId="16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 quotePrefix="1">
      <alignment horizontal="center" vertical="top"/>
    </xf>
    <xf numFmtId="0" fontId="2" fillId="0" borderId="10" xfId="0" applyFont="1" applyBorder="1" applyAlignment="1" quotePrefix="1">
      <alignment horizontal="center" vertical="top"/>
    </xf>
    <xf numFmtId="178" fontId="1" fillId="0" borderId="10" xfId="42" applyNumberFormat="1" applyFont="1" applyBorder="1" applyAlignment="1">
      <alignment horizontal="right" vertical="top"/>
    </xf>
    <xf numFmtId="169" fontId="1" fillId="0" borderId="10" xfId="43" applyFont="1" applyFill="1" applyBorder="1" applyAlignment="1">
      <alignment vertical="top"/>
    </xf>
    <xf numFmtId="0" fontId="5" fillId="0" borderId="0" xfId="0" applyFont="1" applyBorder="1" applyAlignment="1" quotePrefix="1">
      <alignment horizontal="center" vertical="top"/>
    </xf>
    <xf numFmtId="0" fontId="4" fillId="0" borderId="0" xfId="0" applyFont="1" applyBorder="1" applyAlignment="1">
      <alignment horizontal="center" vertical="top"/>
    </xf>
    <xf numFmtId="169" fontId="1" fillId="0" borderId="0" xfId="43" applyNumberFormat="1" applyFont="1" applyBorder="1" applyAlignment="1">
      <alignment horizontal="right" vertical="top"/>
    </xf>
    <xf numFmtId="169" fontId="4" fillId="0" borderId="0" xfId="0" applyNumberFormat="1" applyFont="1" applyBorder="1" applyAlignment="1">
      <alignment horizontal="center" vertical="top"/>
    </xf>
    <xf numFmtId="169" fontId="4" fillId="0" borderId="0" xfId="0" applyNumberFormat="1" applyFont="1" applyFill="1" applyBorder="1" applyAlignment="1">
      <alignment horizontal="center" vertical="top"/>
    </xf>
    <xf numFmtId="169" fontId="1" fillId="0" borderId="0" xfId="0" applyNumberFormat="1" applyFont="1" applyBorder="1" applyAlignment="1">
      <alignment horizontal="center" vertical="top"/>
    </xf>
    <xf numFmtId="169" fontId="1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171" fontId="1" fillId="0" borderId="10" xfId="42" applyFont="1" applyBorder="1" applyAlignment="1" quotePrefix="1">
      <alignment horizontal="center" vertical="top"/>
    </xf>
    <xf numFmtId="171" fontId="1" fillId="0" borderId="10" xfId="42" applyFont="1" applyBorder="1" applyAlignment="1">
      <alignment horizontal="center" vertical="top"/>
    </xf>
    <xf numFmtId="169" fontId="1" fillId="0" borderId="0" xfId="0" applyNumberFormat="1" applyFont="1" applyFill="1" applyBorder="1" applyAlignment="1">
      <alignment horizontal="center" vertical="top"/>
    </xf>
    <xf numFmtId="178" fontId="1" fillId="0" borderId="10" xfId="42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69" fontId="1" fillId="0" borderId="0" xfId="43" applyFont="1" applyFill="1" applyAlignment="1">
      <alignment/>
    </xf>
    <xf numFmtId="169" fontId="2" fillId="0" borderId="0" xfId="43" applyFont="1" applyFill="1" applyAlignment="1">
      <alignment/>
    </xf>
    <xf numFmtId="178" fontId="2" fillId="0" borderId="0" xfId="42" applyNumberFormat="1" applyFont="1" applyFill="1" applyBorder="1" applyAlignment="1">
      <alignment horizontal="right" vertical="top"/>
    </xf>
    <xf numFmtId="169" fontId="4" fillId="0" borderId="0" xfId="43" applyFont="1" applyFill="1" applyAlignment="1">
      <alignment/>
    </xf>
    <xf numFmtId="178" fontId="2" fillId="0" borderId="0" xfId="42" applyNumberFormat="1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 quotePrefix="1">
      <alignment horizontal="center" vertical="top" wrapText="1"/>
    </xf>
    <xf numFmtId="169" fontId="1" fillId="0" borderId="10" xfId="43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9" fontId="0" fillId="0" borderId="0" xfId="43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15" fontId="0" fillId="0" borderId="11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169" fontId="0" fillId="0" borderId="11" xfId="43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69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9" fontId="0" fillId="0" borderId="0" xfId="43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169" fontId="1" fillId="0" borderId="10" xfId="43" applyFont="1" applyBorder="1" applyAlignment="1" quotePrefix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178" fontId="2" fillId="0" borderId="10" xfId="42" applyNumberFormat="1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 quotePrefix="1">
      <alignment horizontal="center" vertical="top"/>
    </xf>
    <xf numFmtId="169" fontId="1" fillId="0" borderId="10" xfId="43" applyFont="1" applyFill="1" applyBorder="1" applyAlignment="1">
      <alignment horizontal="center" vertical="top"/>
    </xf>
    <xf numFmtId="169" fontId="2" fillId="0" borderId="10" xfId="43" applyFont="1" applyFill="1" applyBorder="1" applyAlignment="1">
      <alignment horizontal="center" vertical="top"/>
    </xf>
    <xf numFmtId="169" fontId="2" fillId="0" borderId="10" xfId="43" applyFont="1" applyFill="1" applyBorder="1" applyAlignment="1">
      <alignment horizontal="center" vertical="top" wrapText="1"/>
    </xf>
    <xf numFmtId="178" fontId="1" fillId="0" borderId="10" xfId="42" applyNumberFormat="1" applyFont="1" applyFill="1" applyBorder="1" applyAlignment="1" quotePrefix="1">
      <alignment horizontal="center" vertical="top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8" fontId="2" fillId="0" borderId="10" xfId="42" applyNumberFormat="1" applyFont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 quotePrefix="1">
      <alignment horizontal="center" vertical="top"/>
    </xf>
    <xf numFmtId="178" fontId="2" fillId="33" borderId="13" xfId="42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171" fontId="2" fillId="0" borderId="10" xfId="42" applyFont="1" applyBorder="1" applyAlignment="1" quotePrefix="1">
      <alignment horizontal="center" vertical="top"/>
    </xf>
    <xf numFmtId="171" fontId="2" fillId="0" borderId="10" xfId="42" applyFont="1" applyBorder="1" applyAlignment="1">
      <alignment horizontal="center" vertical="top"/>
    </xf>
    <xf numFmtId="169" fontId="2" fillId="0" borderId="10" xfId="0" applyNumberFormat="1" applyFont="1" applyBorder="1" applyAlignment="1">
      <alignment horizontal="center" vertical="top"/>
    </xf>
    <xf numFmtId="169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169" fontId="2" fillId="0" borderId="10" xfId="43" applyFont="1" applyFill="1" applyBorder="1" applyAlignment="1">
      <alignment vertical="top"/>
    </xf>
    <xf numFmtId="169" fontId="2" fillId="0" borderId="10" xfId="43" applyFont="1" applyBorder="1" applyAlignment="1">
      <alignment horizontal="right" vertical="top"/>
    </xf>
    <xf numFmtId="169" fontId="2" fillId="0" borderId="10" xfId="43" applyFont="1" applyBorder="1" applyAlignment="1">
      <alignment/>
    </xf>
    <xf numFmtId="169" fontId="1" fillId="0" borderId="10" xfId="43" applyFont="1" applyBorder="1" applyAlignment="1">
      <alignment horizontal="right" vertical="top"/>
    </xf>
    <xf numFmtId="169" fontId="4" fillId="0" borderId="0" xfId="43" applyFont="1" applyFill="1" applyBorder="1" applyAlignment="1">
      <alignment horizontal="center" vertical="top"/>
    </xf>
    <xf numFmtId="169" fontId="1" fillId="0" borderId="0" xfId="43" applyFont="1" applyFill="1" applyAlignment="1">
      <alignment vertical="top"/>
    </xf>
    <xf numFmtId="169" fontId="4" fillId="0" borderId="0" xfId="43" applyFont="1" applyFill="1" applyAlignment="1">
      <alignment vertical="top"/>
    </xf>
    <xf numFmtId="169" fontId="3" fillId="0" borderId="0" xfId="43" applyFont="1" applyFill="1" applyAlignment="1">
      <alignment vertical="top"/>
    </xf>
    <xf numFmtId="169" fontId="4" fillId="0" borderId="0" xfId="43" applyFont="1" applyAlignment="1">
      <alignment/>
    </xf>
    <xf numFmtId="0" fontId="2" fillId="7" borderId="10" xfId="0" applyFont="1" applyFill="1" applyBorder="1" applyAlignment="1" quotePrefix="1">
      <alignment horizontal="center" vertical="top"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178" fontId="2" fillId="7" borderId="10" xfId="42" applyNumberFormat="1" applyFont="1" applyFill="1" applyBorder="1" applyAlignment="1">
      <alignment horizontal="right" vertical="top"/>
    </xf>
    <xf numFmtId="178" fontId="2" fillId="7" borderId="10" xfId="42" applyNumberFormat="1" applyFont="1" applyFill="1" applyBorder="1" applyAlignment="1">
      <alignment horizontal="center" vertical="top"/>
    </xf>
    <xf numFmtId="169" fontId="2" fillId="7" borderId="10" xfId="43" applyFont="1" applyFill="1" applyBorder="1" applyAlignment="1">
      <alignment horizontal="right" vertical="top"/>
    </xf>
    <xf numFmtId="169" fontId="2" fillId="7" borderId="10" xfId="43" applyFont="1" applyFill="1" applyBorder="1" applyAlignment="1">
      <alignment horizontal="center" vertical="top"/>
    </xf>
    <xf numFmtId="169" fontId="2" fillId="7" borderId="10" xfId="0" applyNumberFormat="1" applyFont="1" applyFill="1" applyBorder="1" applyAlignment="1">
      <alignment horizontal="center" vertical="top"/>
    </xf>
    <xf numFmtId="0" fontId="2" fillId="7" borderId="0" xfId="0" applyFont="1" applyFill="1" applyAlignment="1">
      <alignment/>
    </xf>
    <xf numFmtId="0" fontId="2" fillId="7" borderId="10" xfId="0" applyFont="1" applyFill="1" applyBorder="1" applyAlignment="1">
      <alignment horizontal="left" vertical="top"/>
    </xf>
    <xf numFmtId="169" fontId="2" fillId="7" borderId="10" xfId="43" applyFont="1" applyFill="1" applyBorder="1" applyAlignment="1">
      <alignment vertical="top"/>
    </xf>
    <xf numFmtId="0" fontId="2" fillId="7" borderId="10" xfId="0" applyFont="1" applyFill="1" applyBorder="1" applyAlignment="1">
      <alignment vertical="top" wrapText="1"/>
    </xf>
    <xf numFmtId="0" fontId="2" fillId="6" borderId="10" xfId="0" applyFont="1" applyFill="1" applyBorder="1" applyAlignment="1" quotePrefix="1">
      <alignment horizontal="center" vertical="top"/>
    </xf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/>
    </xf>
    <xf numFmtId="178" fontId="2" fillId="6" borderId="10" xfId="42" applyNumberFormat="1" applyFont="1" applyFill="1" applyBorder="1" applyAlignment="1">
      <alignment horizontal="right" vertical="top"/>
    </xf>
    <xf numFmtId="171" fontId="2" fillId="6" borderId="10" xfId="42" applyFont="1" applyFill="1" applyBorder="1" applyAlignment="1" quotePrefix="1">
      <alignment horizontal="center" vertical="top"/>
    </xf>
    <xf numFmtId="171" fontId="2" fillId="6" borderId="10" xfId="42" applyFont="1" applyFill="1" applyBorder="1" applyAlignment="1">
      <alignment horizontal="center" vertical="top"/>
    </xf>
    <xf numFmtId="178" fontId="2" fillId="6" borderId="10" xfId="42" applyNumberFormat="1" applyFont="1" applyFill="1" applyBorder="1" applyAlignment="1">
      <alignment horizontal="center" vertical="top"/>
    </xf>
    <xf numFmtId="169" fontId="2" fillId="6" borderId="10" xfId="43" applyFont="1" applyFill="1" applyBorder="1" applyAlignment="1">
      <alignment horizontal="right" vertical="top"/>
    </xf>
    <xf numFmtId="169" fontId="2" fillId="6" borderId="10" xfId="43" applyFont="1" applyFill="1" applyBorder="1" applyAlignment="1">
      <alignment horizontal="center" vertical="top"/>
    </xf>
    <xf numFmtId="169" fontId="2" fillId="6" borderId="10" xfId="0" applyNumberFormat="1" applyFont="1" applyFill="1" applyBorder="1" applyAlignment="1">
      <alignment horizontal="center" vertical="top"/>
    </xf>
    <xf numFmtId="0" fontId="2" fillId="6" borderId="0" xfId="0" applyFont="1" applyFill="1" applyAlignment="1">
      <alignment/>
    </xf>
    <xf numFmtId="0" fontId="2" fillId="7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10" xfId="0" applyFont="1" applyFill="1" applyBorder="1" applyAlignment="1" quotePrefix="1">
      <alignment horizontal="center" vertical="top" wrapText="1"/>
    </xf>
    <xf numFmtId="178" fontId="2" fillId="6" borderId="10" xfId="0" applyNumberFormat="1" applyFont="1" applyFill="1" applyBorder="1" applyAlignment="1">
      <alignment horizontal="center" vertical="top" wrapText="1"/>
    </xf>
    <xf numFmtId="169" fontId="2" fillId="6" borderId="10" xfId="43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169" fontId="2" fillId="7" borderId="10" xfId="43" applyFont="1" applyFill="1" applyBorder="1" applyAlignment="1">
      <alignment horizontal="center" vertical="top" wrapText="1"/>
    </xf>
    <xf numFmtId="169" fontId="1" fillId="0" borderId="10" xfId="43" applyFont="1" applyFill="1" applyBorder="1" applyAlignment="1">
      <alignment horizontal="center" vertical="top" wrapText="1"/>
    </xf>
    <xf numFmtId="171" fontId="2" fillId="7" borderId="10" xfId="42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 quotePrefix="1">
      <alignment horizontal="center" vertical="top"/>
    </xf>
    <xf numFmtId="3" fontId="2" fillId="0" borderId="10" xfId="0" applyNumberFormat="1" applyFont="1" applyBorder="1" applyAlignment="1" quotePrefix="1">
      <alignment horizontal="center" vertical="top"/>
    </xf>
    <xf numFmtId="178" fontId="2" fillId="0" borderId="10" xfId="0" applyNumberFormat="1" applyFont="1" applyFill="1" applyBorder="1" applyAlignment="1">
      <alignment horizontal="center" vertical="top" wrapText="1"/>
    </xf>
    <xf numFmtId="0" fontId="2" fillId="7" borderId="10" xfId="0" applyFont="1" applyFill="1" applyBorder="1" applyAlignment="1" quotePrefix="1">
      <alignment horizontal="center" vertical="top" wrapText="1"/>
    </xf>
    <xf numFmtId="178" fontId="2" fillId="7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 quotePrefix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1" fillId="0" borderId="0" xfId="42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/>
    </xf>
    <xf numFmtId="178" fontId="2" fillId="6" borderId="10" xfId="42" applyNumberFormat="1" applyFont="1" applyFill="1" applyBorder="1" applyAlignment="1" quotePrefix="1">
      <alignment horizontal="center" vertical="top"/>
    </xf>
    <xf numFmtId="178" fontId="2" fillId="7" borderId="10" xfId="42" applyNumberFormat="1" applyFont="1" applyFill="1" applyBorder="1" applyAlignment="1" quotePrefix="1">
      <alignment horizontal="center" vertical="top"/>
    </xf>
    <xf numFmtId="178" fontId="2" fillId="0" borderId="10" xfId="42" applyNumberFormat="1" applyFont="1" applyFill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33" borderId="13" xfId="0" applyFont="1" applyFill="1" applyBorder="1" applyAlignment="1">
      <alignment horizontal="center" vertical="top"/>
    </xf>
    <xf numFmtId="169" fontId="2" fillId="0" borderId="0" xfId="0" applyNumberFormat="1" applyFont="1" applyFill="1" applyAlignment="1">
      <alignment/>
    </xf>
    <xf numFmtId="169" fontId="2" fillId="6" borderId="10" xfId="0" applyNumberFormat="1" applyFont="1" applyFill="1" applyBorder="1" applyAlignment="1">
      <alignment horizontal="center" vertical="top" wrapText="1"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 horizontal="center" vertical="top" wrapText="1"/>
    </xf>
    <xf numFmtId="169" fontId="1" fillId="0" borderId="10" xfId="43" applyFont="1" applyFill="1" applyBorder="1" applyAlignment="1">
      <alignment horizontal="right" vertical="top"/>
    </xf>
    <xf numFmtId="0" fontId="13" fillId="0" borderId="0" xfId="0" applyFont="1" applyBorder="1" applyAlignment="1">
      <alignment horizontal="center"/>
    </xf>
    <xf numFmtId="169" fontId="2" fillId="0" borderId="10" xfId="43" applyFont="1" applyFill="1" applyBorder="1" applyAlignment="1">
      <alignment horizontal="right" vertical="top"/>
    </xf>
    <xf numFmtId="178" fontId="4" fillId="0" borderId="0" xfId="0" applyNumberFormat="1" applyFont="1" applyAlignment="1">
      <alignment horizontal="center" vertical="top"/>
    </xf>
    <xf numFmtId="169" fontId="1" fillId="0" borderId="10" xfId="0" applyNumberFormat="1" applyFont="1" applyFill="1" applyBorder="1" applyAlignment="1">
      <alignment horizontal="center" vertical="top" wrapText="1"/>
    </xf>
    <xf numFmtId="169" fontId="1" fillId="0" borderId="10" xfId="43" applyFont="1" applyFill="1" applyBorder="1" applyAlignment="1">
      <alignment horizontal="right" vertical="top" wrapText="1"/>
    </xf>
    <xf numFmtId="169" fontId="2" fillId="7" borderId="10" xfId="43" applyFont="1" applyFill="1" applyBorder="1" applyAlignment="1">
      <alignment horizontal="right" vertical="top" wrapText="1"/>
    </xf>
    <xf numFmtId="169" fontId="2" fillId="0" borderId="10" xfId="43" applyFont="1" applyFill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13" fillId="35" borderId="0" xfId="0" applyFont="1" applyFill="1" applyBorder="1" applyAlignment="1">
      <alignment/>
    </xf>
    <xf numFmtId="171" fontId="2" fillId="6" borderId="10" xfId="0" applyNumberFormat="1" applyFont="1" applyFill="1" applyBorder="1" applyAlignment="1">
      <alignment vertical="top"/>
    </xf>
    <xf numFmtId="171" fontId="2" fillId="0" borderId="10" xfId="0" applyNumberFormat="1" applyFont="1" applyFill="1" applyBorder="1" applyAlignment="1">
      <alignment vertical="top"/>
    </xf>
    <xf numFmtId="171" fontId="1" fillId="0" borderId="10" xfId="0" applyNumberFormat="1" applyFont="1" applyFill="1" applyBorder="1" applyAlignment="1">
      <alignment vertical="top"/>
    </xf>
    <xf numFmtId="171" fontId="2" fillId="6" borderId="10" xfId="0" applyNumberFormat="1" applyFont="1" applyFill="1" applyBorder="1" applyAlignment="1">
      <alignment vertical="top" wrapText="1"/>
    </xf>
    <xf numFmtId="171" fontId="1" fillId="0" borderId="10" xfId="0" applyNumberFormat="1" applyFont="1" applyFill="1" applyBorder="1" applyAlignment="1">
      <alignment vertical="top" wrapText="1"/>
    </xf>
    <xf numFmtId="171" fontId="1" fillId="0" borderId="0" xfId="0" applyNumberFormat="1" applyFont="1" applyBorder="1" applyAlignment="1">
      <alignment vertical="top"/>
    </xf>
    <xf numFmtId="0" fontId="4" fillId="0" borderId="0" xfId="0" applyFont="1" applyAlignment="1">
      <alignment/>
    </xf>
    <xf numFmtId="169" fontId="2" fillId="6" borderId="10" xfId="43" applyFont="1" applyFill="1" applyBorder="1" applyAlignment="1">
      <alignment vertical="top"/>
    </xf>
    <xf numFmtId="169" fontId="2" fillId="0" borderId="10" xfId="43" applyFont="1" applyBorder="1" applyAlignment="1">
      <alignment vertical="top"/>
    </xf>
    <xf numFmtId="169" fontId="1" fillId="0" borderId="10" xfId="43" applyFont="1" applyBorder="1" applyAlignment="1">
      <alignment vertical="top"/>
    </xf>
    <xf numFmtId="169" fontId="2" fillId="6" borderId="10" xfId="43" applyFont="1" applyFill="1" applyBorder="1" applyAlignment="1">
      <alignment vertical="top" wrapText="1"/>
    </xf>
    <xf numFmtId="169" fontId="2" fillId="7" borderId="10" xfId="43" applyFont="1" applyFill="1" applyBorder="1" applyAlignment="1">
      <alignment vertical="top" wrapText="1"/>
    </xf>
    <xf numFmtId="169" fontId="2" fillId="0" borderId="10" xfId="43" applyFont="1" applyFill="1" applyBorder="1" applyAlignment="1">
      <alignment vertical="top" wrapText="1"/>
    </xf>
    <xf numFmtId="169" fontId="1" fillId="0" borderId="10" xfId="43" applyFont="1" applyFill="1" applyBorder="1" applyAlignment="1">
      <alignment vertical="top" wrapText="1"/>
    </xf>
    <xf numFmtId="171" fontId="3" fillId="0" borderId="0" xfId="0" applyNumberFormat="1" applyFont="1" applyBorder="1" applyAlignment="1">
      <alignment vertical="top"/>
    </xf>
    <xf numFmtId="179" fontId="2" fillId="6" borderId="10" xfId="0" applyNumberFormat="1" applyFont="1" applyFill="1" applyBorder="1" applyAlignment="1">
      <alignment vertical="top"/>
    </xf>
    <xf numFmtId="179" fontId="2" fillId="7" borderId="10" xfId="0" applyNumberFormat="1" applyFont="1" applyFill="1" applyBorder="1" applyAlignment="1">
      <alignment vertical="top"/>
    </xf>
    <xf numFmtId="179" fontId="2" fillId="0" borderId="10" xfId="0" applyNumberFormat="1" applyFont="1" applyFill="1" applyBorder="1" applyAlignment="1">
      <alignment vertical="top"/>
    </xf>
    <xf numFmtId="179" fontId="1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top"/>
    </xf>
    <xf numFmtId="169" fontId="1" fillId="0" borderId="0" xfId="43" applyFont="1" applyBorder="1" applyAlignment="1">
      <alignment horizontal="right" vertical="top"/>
    </xf>
    <xf numFmtId="0" fontId="2" fillId="0" borderId="10" xfId="0" applyFont="1" applyFill="1" applyBorder="1" applyAlignment="1" quotePrefix="1">
      <alignment horizontal="center" vertical="top" wrapText="1"/>
    </xf>
    <xf numFmtId="169" fontId="1" fillId="7" borderId="10" xfId="43" applyFont="1" applyFill="1" applyBorder="1" applyAlignment="1">
      <alignment vertical="top" wrapText="1"/>
    </xf>
    <xf numFmtId="178" fontId="1" fillId="7" borderId="10" xfId="0" applyNumberFormat="1" applyFont="1" applyFill="1" applyBorder="1" applyAlignment="1">
      <alignment horizontal="center" vertical="top" wrapText="1"/>
    </xf>
    <xf numFmtId="0" fontId="1" fillId="6" borderId="10" xfId="0" applyFont="1" applyFill="1" applyBorder="1" applyAlignment="1">
      <alignment horizontal="center" vertical="top"/>
    </xf>
    <xf numFmtId="179" fontId="1" fillId="6" borderId="10" xfId="0" applyNumberFormat="1" applyFont="1" applyFill="1" applyBorder="1" applyAlignment="1">
      <alignment vertical="top"/>
    </xf>
    <xf numFmtId="179" fontId="1" fillId="7" borderId="10" xfId="0" applyNumberFormat="1" applyFont="1" applyFill="1" applyBorder="1" applyAlignment="1">
      <alignment vertical="top"/>
    </xf>
    <xf numFmtId="0" fontId="1" fillId="7" borderId="10" xfId="0" applyFont="1" applyFill="1" applyBorder="1" applyAlignment="1">
      <alignment horizontal="center" vertical="top"/>
    </xf>
    <xf numFmtId="0" fontId="1" fillId="7" borderId="10" xfId="0" applyFont="1" applyFill="1" applyBorder="1" applyAlignment="1" quotePrefix="1">
      <alignment horizontal="center" vertical="top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top"/>
    </xf>
    <xf numFmtId="0" fontId="2" fillId="12" borderId="10" xfId="0" applyFont="1" applyFill="1" applyBorder="1" applyAlignment="1" quotePrefix="1">
      <alignment horizontal="center" vertical="top"/>
    </xf>
    <xf numFmtId="178" fontId="2" fillId="12" borderId="10" xfId="42" applyNumberFormat="1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/>
    </xf>
    <xf numFmtId="169" fontId="2" fillId="34" borderId="11" xfId="43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6" borderId="15" xfId="0" applyFont="1" applyFill="1" applyBorder="1" applyAlignment="1">
      <alignment horizontal="center"/>
    </xf>
    <xf numFmtId="19" fontId="2" fillId="36" borderId="15" xfId="0" applyNumberFormat="1" applyFont="1" applyFill="1" applyBorder="1" applyAlignment="1" applyProtection="1">
      <alignment horizontal="left" vertical="top" wrapText="1" readingOrder="1"/>
      <protection/>
    </xf>
    <xf numFmtId="169" fontId="52" fillId="36" borderId="15" xfId="43" applyFont="1" applyFill="1" applyBorder="1" applyAlignment="1" applyProtection="1">
      <alignment horizontal="right" vertical="top" wrapText="1" readingOrder="1"/>
      <protection/>
    </xf>
    <xf numFmtId="169" fontId="52" fillId="36" borderId="15" xfId="43" applyFont="1" applyFill="1" applyBorder="1" applyAlignment="1" applyProtection="1">
      <alignment vertical="top" wrapText="1" readingOrder="1"/>
      <protection/>
    </xf>
    <xf numFmtId="0" fontId="2" fillId="17" borderId="16" xfId="0" applyFont="1" applyFill="1" applyBorder="1" applyAlignment="1">
      <alignment horizontal="center"/>
    </xf>
    <xf numFmtId="19" fontId="2" fillId="17" borderId="16" xfId="0" applyNumberFormat="1" applyFont="1" applyFill="1" applyBorder="1" applyAlignment="1" applyProtection="1">
      <alignment horizontal="left" vertical="top" wrapText="1" readingOrder="1"/>
      <protection/>
    </xf>
    <xf numFmtId="0" fontId="2" fillId="17" borderId="10" xfId="0" applyFont="1" applyFill="1" applyBorder="1" applyAlignment="1">
      <alignment horizontal="center"/>
    </xf>
    <xf numFmtId="169" fontId="52" fillId="17" borderId="10" xfId="43" applyFont="1" applyFill="1" applyBorder="1" applyAlignment="1" applyProtection="1">
      <alignment horizontal="right" vertical="top" wrapText="1" readingOrder="1"/>
      <protection/>
    </xf>
    <xf numFmtId="169" fontId="52" fillId="17" borderId="10" xfId="43" applyFont="1" applyFill="1" applyBorder="1" applyAlignment="1" applyProtection="1">
      <alignment vertical="top" wrapText="1" readingOrder="1"/>
      <protection/>
    </xf>
    <xf numFmtId="0" fontId="2" fillId="7" borderId="10" xfId="0" applyFont="1" applyFill="1" applyBorder="1" applyAlignment="1">
      <alignment horizontal="center"/>
    </xf>
    <xf numFmtId="19" fontId="52" fillId="7" borderId="16" xfId="0" applyNumberFormat="1" applyFont="1" applyFill="1" applyBorder="1" applyAlignment="1" applyProtection="1">
      <alignment horizontal="left" vertical="top" wrapText="1" readingOrder="1"/>
      <protection/>
    </xf>
    <xf numFmtId="169" fontId="52" fillId="7" borderId="10" xfId="43" applyFont="1" applyFill="1" applyBorder="1" applyAlignment="1" applyProtection="1">
      <alignment horizontal="right" vertical="top" wrapText="1" readingOrder="1"/>
      <protection/>
    </xf>
    <xf numFmtId="169" fontId="52" fillId="7" borderId="10" xfId="43" applyFont="1" applyFill="1" applyBorder="1" applyAlignment="1" applyProtection="1">
      <alignment vertical="top" wrapText="1" readingOrder="1"/>
      <protection/>
    </xf>
    <xf numFmtId="0" fontId="2" fillId="0" borderId="10" xfId="0" applyFont="1" applyFill="1" applyBorder="1" applyAlignment="1">
      <alignment horizontal="center"/>
    </xf>
    <xf numFmtId="19" fontId="52" fillId="37" borderId="10" xfId="0" applyNumberFormat="1" applyFont="1" applyFill="1" applyBorder="1" applyAlignment="1" applyProtection="1">
      <alignment horizontal="left" vertical="top" wrapText="1" readingOrder="1"/>
      <protection/>
    </xf>
    <xf numFmtId="169" fontId="52" fillId="37" borderId="10" xfId="43" applyFont="1" applyFill="1" applyBorder="1" applyAlignment="1" applyProtection="1">
      <alignment horizontal="right" vertical="top" wrapText="1" readingOrder="1"/>
      <protection/>
    </xf>
    <xf numFmtId="169" fontId="2" fillId="0" borderId="10" xfId="43" applyFont="1" applyFill="1" applyBorder="1" applyAlignment="1">
      <alignment horizontal="center"/>
    </xf>
    <xf numFmtId="169" fontId="52" fillId="0" borderId="10" xfId="43" applyFont="1" applyFill="1" applyBorder="1" applyAlignment="1" applyProtection="1">
      <alignment vertical="top" wrapText="1" readingOrder="1"/>
      <protection/>
    </xf>
    <xf numFmtId="0" fontId="1" fillId="0" borderId="10" xfId="0" applyFont="1" applyFill="1" applyBorder="1" applyAlignment="1">
      <alignment horizontal="center"/>
    </xf>
    <xf numFmtId="19" fontId="53" fillId="37" borderId="10" xfId="0" applyNumberFormat="1" applyFont="1" applyFill="1" applyBorder="1" applyAlignment="1" applyProtection="1">
      <alignment horizontal="left" vertical="top" wrapText="1" readingOrder="1"/>
      <protection/>
    </xf>
    <xf numFmtId="169" fontId="53" fillId="37" borderId="10" xfId="43" applyFont="1" applyFill="1" applyBorder="1" applyAlignment="1" applyProtection="1">
      <alignment horizontal="right" vertical="top" wrapText="1" readingOrder="1"/>
      <protection/>
    </xf>
    <xf numFmtId="169" fontId="1" fillId="0" borderId="10" xfId="43" applyFont="1" applyFill="1" applyBorder="1" applyAlignment="1">
      <alignment horizontal="center"/>
    </xf>
    <xf numFmtId="169" fontId="53" fillId="0" borderId="10" xfId="43" applyFont="1" applyFill="1" applyBorder="1" applyAlignment="1" applyProtection="1">
      <alignment vertical="top" wrapText="1" readingOrder="1"/>
      <protection/>
    </xf>
    <xf numFmtId="16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" fontId="52" fillId="37" borderId="10" xfId="0" applyNumberFormat="1" applyFont="1" applyFill="1" applyBorder="1" applyAlignment="1" applyProtection="1">
      <alignment horizontal="left" vertical="center" wrapText="1" readingOrder="1"/>
      <protection/>
    </xf>
    <xf numFmtId="169" fontId="52" fillId="37" borderId="10" xfId="43" applyFont="1" applyFill="1" applyBorder="1" applyAlignment="1" applyProtection="1">
      <alignment horizontal="right" vertical="center" wrapText="1" readingOrder="1"/>
      <protection/>
    </xf>
    <xf numFmtId="169" fontId="2" fillId="0" borderId="10" xfId="0" applyNumberFormat="1" applyFont="1" applyBorder="1" applyAlignment="1">
      <alignment horizontal="center" vertical="center"/>
    </xf>
    <xf numFmtId="169" fontId="2" fillId="0" borderId="10" xfId="43" applyFont="1" applyFill="1" applyBorder="1" applyAlignment="1">
      <alignment horizontal="center" vertical="center"/>
    </xf>
    <xf numFmtId="169" fontId="52" fillId="0" borderId="10" xfId="43" applyFont="1" applyFill="1" applyBorder="1" applyAlignment="1" applyProtection="1">
      <alignment vertical="center" wrapText="1" readingOrder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17" borderId="15" xfId="0" applyFont="1" applyFill="1" applyBorder="1" applyAlignment="1">
      <alignment horizontal="center" vertical="top"/>
    </xf>
    <xf numFmtId="0" fontId="2" fillId="17" borderId="15" xfId="0" applyFont="1" applyFill="1" applyBorder="1" applyAlignment="1">
      <alignment horizontal="left" vertical="top"/>
    </xf>
    <xf numFmtId="178" fontId="2" fillId="17" borderId="15" xfId="42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52" fillId="37" borderId="17" xfId="43" applyFont="1" applyFill="1" applyBorder="1" applyAlignment="1" applyProtection="1">
      <alignment horizontal="right" vertical="top" wrapText="1" readingOrder="1"/>
      <protection/>
    </xf>
    <xf numFmtId="169" fontId="53" fillId="37" borderId="17" xfId="43" applyFont="1" applyFill="1" applyBorder="1" applyAlignment="1" applyProtection="1">
      <alignment horizontal="right" vertical="top" wrapText="1" readingOrder="1"/>
      <protection/>
    </xf>
    <xf numFmtId="19" fontId="53" fillId="37" borderId="17" xfId="0" applyNumberFormat="1" applyFont="1" applyFill="1" applyBorder="1" applyAlignment="1" applyProtection="1">
      <alignment horizontal="left" vertical="top" wrapText="1" readingOrder="1"/>
      <protection/>
    </xf>
    <xf numFmtId="19" fontId="52" fillId="37" borderId="17" xfId="0" applyNumberFormat="1" applyFont="1" applyFill="1" applyBorder="1" applyAlignment="1" applyProtection="1">
      <alignment horizontal="left" vertical="top" wrapText="1" readingOrder="1"/>
      <protection/>
    </xf>
    <xf numFmtId="19" fontId="53" fillId="37" borderId="18" xfId="0" applyNumberFormat="1" applyFont="1" applyFill="1" applyBorder="1" applyAlignment="1" applyProtection="1" quotePrefix="1">
      <alignment horizontal="left" vertical="top" wrapText="1" readingOrder="1"/>
      <protection/>
    </xf>
    <xf numFmtId="19" fontId="53" fillId="37" borderId="18" xfId="0" applyNumberFormat="1" applyFont="1" applyFill="1" applyBorder="1" applyAlignment="1" applyProtection="1">
      <alignment horizontal="left" vertical="top" wrapText="1" readingOrder="1"/>
      <protection/>
    </xf>
    <xf numFmtId="178" fontId="2" fillId="6" borderId="10" xfId="42" applyNumberFormat="1" applyFont="1" applyFill="1" applyBorder="1" applyAlignment="1">
      <alignment horizontal="center" vertical="top" wrapText="1"/>
    </xf>
    <xf numFmtId="19" fontId="52" fillId="7" borderId="10" xfId="0" applyNumberFormat="1" applyFont="1" applyFill="1" applyBorder="1" applyAlignment="1" applyProtection="1">
      <alignment horizontal="left" vertical="top" wrapText="1" readingOrder="1"/>
      <protection/>
    </xf>
    <xf numFmtId="19" fontId="52" fillId="12" borderId="10" xfId="0" applyNumberFormat="1" applyFont="1" applyFill="1" applyBorder="1" applyAlignment="1" applyProtection="1">
      <alignment horizontal="left" vertical="top" wrapText="1" readingOrder="1"/>
      <protection/>
    </xf>
    <xf numFmtId="169" fontId="52" fillId="37" borderId="10" xfId="43" applyFont="1" applyFill="1" applyBorder="1" applyAlignment="1" applyProtection="1">
      <alignment horizontal="right" vertical="center" wrapText="1"/>
      <protection/>
    </xf>
    <xf numFmtId="169" fontId="52" fillId="37" borderId="10" xfId="43" applyFont="1" applyFill="1" applyBorder="1" applyAlignment="1" applyProtection="1">
      <alignment horizontal="left" vertical="top" wrapText="1" readingOrder="1"/>
      <protection/>
    </xf>
    <xf numFmtId="178" fontId="2" fillId="0" borderId="10" xfId="42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169" fontId="13" fillId="0" borderId="0" xfId="43" applyFont="1" applyBorder="1" applyAlignment="1">
      <alignment horizontal="center"/>
    </xf>
    <xf numFmtId="169" fontId="2" fillId="12" borderId="10" xfId="43" applyFont="1" applyFill="1" applyBorder="1" applyAlignment="1">
      <alignment horizontal="center" vertical="top"/>
    </xf>
    <xf numFmtId="169" fontId="4" fillId="0" borderId="0" xfId="43" applyFont="1" applyBorder="1" applyAlignment="1">
      <alignment horizontal="center" vertical="top"/>
    </xf>
    <xf numFmtId="169" fontId="1" fillId="0" borderId="0" xfId="43" applyFont="1" applyBorder="1" applyAlignment="1">
      <alignment horizontal="center" vertical="top"/>
    </xf>
    <xf numFmtId="169" fontId="4" fillId="0" borderId="0" xfId="43" applyFont="1" applyAlignment="1">
      <alignment vertical="top"/>
    </xf>
    <xf numFmtId="169" fontId="4" fillId="0" borderId="0" xfId="43" applyFont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19" fontId="53" fillId="37" borderId="19" xfId="0" applyNumberFormat="1" applyFont="1" applyFill="1" applyBorder="1" applyAlignment="1" applyProtection="1">
      <alignment horizontal="left" vertical="center" wrapText="1" readingOrder="1"/>
      <protection/>
    </xf>
    <xf numFmtId="0" fontId="1" fillId="0" borderId="1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169" fontId="53" fillId="37" borderId="19" xfId="43" applyFont="1" applyFill="1" applyBorder="1" applyAlignment="1" applyProtection="1">
      <alignment horizontal="right" vertical="center" wrapText="1" readingOrder="1"/>
      <protection/>
    </xf>
    <xf numFmtId="169" fontId="1" fillId="0" borderId="10" xfId="0" applyNumberFormat="1" applyFont="1" applyBorder="1" applyAlignment="1">
      <alignment horizontal="center" vertical="center"/>
    </xf>
    <xf numFmtId="169" fontId="1" fillId="0" borderId="19" xfId="43" applyFont="1" applyFill="1" applyBorder="1" applyAlignment="1">
      <alignment horizontal="center" vertical="center"/>
    </xf>
    <xf numFmtId="169" fontId="53" fillId="0" borderId="19" xfId="43" applyFont="1" applyFill="1" applyBorder="1" applyAlignment="1" applyProtection="1">
      <alignment vertical="center" wrapText="1" readingOrder="1"/>
      <protection/>
    </xf>
    <xf numFmtId="178" fontId="1" fillId="0" borderId="10" xfId="42" applyNumberFormat="1" applyFont="1" applyFill="1" applyBorder="1" applyAlignment="1" quotePrefix="1">
      <alignment horizontal="center" vertical="center"/>
    </xf>
    <xf numFmtId="169" fontId="1" fillId="0" borderId="10" xfId="43" applyFont="1" applyFill="1" applyBorder="1" applyAlignment="1">
      <alignment horizontal="center" vertical="center"/>
    </xf>
    <xf numFmtId="16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9" fontId="1" fillId="7" borderId="10" xfId="43" applyFont="1" applyFill="1" applyBorder="1" applyAlignment="1">
      <alignment vertical="top"/>
    </xf>
    <xf numFmtId="171" fontId="1" fillId="7" borderId="10" xfId="0" applyNumberFormat="1" applyFont="1" applyFill="1" applyBorder="1" applyAlignment="1">
      <alignment vertical="top" wrapText="1"/>
    </xf>
    <xf numFmtId="171" fontId="1" fillId="6" borderId="10" xfId="0" applyNumberFormat="1" applyFont="1" applyFill="1" applyBorder="1" applyAlignment="1">
      <alignment vertical="top"/>
    </xf>
    <xf numFmtId="169" fontId="2" fillId="17" borderId="10" xfId="43" applyFont="1" applyFill="1" applyBorder="1" applyAlignment="1">
      <alignment vertical="top"/>
    </xf>
    <xf numFmtId="178" fontId="2" fillId="0" borderId="10" xfId="42" applyNumberFormat="1" applyFont="1" applyFill="1" applyBorder="1" applyAlignment="1">
      <alignment horizontal="right" vertical="top"/>
    </xf>
    <xf numFmtId="178" fontId="1" fillId="0" borderId="10" xfId="42" applyNumberFormat="1" applyFont="1" applyFill="1" applyBorder="1" applyAlignment="1">
      <alignment horizontal="right" vertical="top"/>
    </xf>
    <xf numFmtId="169" fontId="1" fillId="0" borderId="0" xfId="43" applyFont="1" applyAlignment="1">
      <alignment/>
    </xf>
    <xf numFmtId="169" fontId="1" fillId="0" borderId="10" xfId="43" applyFont="1" applyBorder="1" applyAlignment="1">
      <alignment/>
    </xf>
    <xf numFmtId="171" fontId="2" fillId="0" borderId="10" xfId="0" applyNumberFormat="1" applyFont="1" applyFill="1" applyBorder="1" applyAlignment="1">
      <alignment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169" fontId="14" fillId="0" borderId="11" xfId="43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69" fontId="1" fillId="0" borderId="20" xfId="43" applyFont="1" applyBorder="1" applyAlignment="1">
      <alignment horizontal="center" vertical="center" wrapText="1"/>
    </xf>
    <xf numFmtId="169" fontId="1" fillId="0" borderId="23" xfId="43" applyFont="1" applyBorder="1" applyAlignment="1">
      <alignment horizontal="center" vertical="center" wrapText="1"/>
    </xf>
    <xf numFmtId="169" fontId="1" fillId="0" borderId="21" xfId="43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69" fontId="1" fillId="0" borderId="20" xfId="43" applyFont="1" applyFill="1" applyBorder="1" applyAlignment="1">
      <alignment horizontal="center" vertical="center" wrapText="1"/>
    </xf>
    <xf numFmtId="169" fontId="1" fillId="0" borderId="23" xfId="43" applyFont="1" applyFill="1" applyBorder="1" applyAlignment="1">
      <alignment horizontal="center" vertical="center" wrapText="1"/>
    </xf>
    <xf numFmtId="169" fontId="1" fillId="0" borderId="21" xfId="43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 quotePrefix="1">
      <alignment horizontal="center" vertical="top" wrapText="1"/>
    </xf>
    <xf numFmtId="178" fontId="2" fillId="16" borderId="10" xfId="0" applyNumberFormat="1" applyFont="1" applyFill="1" applyBorder="1" applyAlignment="1" quotePrefix="1">
      <alignment horizontal="center" vertical="top" wrapText="1"/>
    </xf>
    <xf numFmtId="0" fontId="2" fillId="16" borderId="10" xfId="0" applyFont="1" applyFill="1" applyBorder="1" applyAlignment="1">
      <alignment vertical="top" wrapText="1"/>
    </xf>
    <xf numFmtId="169" fontId="2" fillId="16" borderId="10" xfId="43" applyFont="1" applyFill="1" applyBorder="1" applyAlignment="1" quotePrefix="1">
      <alignment horizontal="center" vertical="top" wrapText="1"/>
    </xf>
    <xf numFmtId="169" fontId="2" fillId="16" borderId="10" xfId="43" applyFont="1" applyFill="1" applyBorder="1" applyAlignment="1">
      <alignment horizontal="center" vertical="top" wrapText="1"/>
    </xf>
    <xf numFmtId="169" fontId="2" fillId="16" borderId="10" xfId="43" applyFont="1" applyFill="1" applyBorder="1" applyAlignment="1" quotePrefix="1">
      <alignment vertical="top" wrapText="1"/>
    </xf>
    <xf numFmtId="169" fontId="2" fillId="16" borderId="10" xfId="43" applyFont="1" applyFill="1" applyBorder="1" applyAlignment="1">
      <alignment vertical="top" wrapText="1"/>
    </xf>
    <xf numFmtId="171" fontId="2" fillId="16" borderId="10" xfId="0" applyNumberFormat="1" applyFont="1" applyFill="1" applyBorder="1" applyAlignment="1" quotePrefix="1">
      <alignment vertical="top" wrapText="1"/>
    </xf>
    <xf numFmtId="171" fontId="2" fillId="16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LANKO%20LAP%20BARJAS\Blanko%20LAPORAN%20MAR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BRGJS des 2018"/>
      <sheetName val="Prediksi realisasi"/>
      <sheetName val="Contoh isi"/>
      <sheetName val="BID. KONSULTANSI"/>
      <sheetName val="BID KONSTRUKSI"/>
      <sheetName val="BID Barang"/>
      <sheetName val="BID jasa lainnya"/>
    </sheetNames>
    <sheetDataSet>
      <sheetData sheetId="6">
        <row r="24">
          <cell r="L24">
            <v>19922115</v>
          </cell>
        </row>
        <row r="25">
          <cell r="L25">
            <v>2151705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7">
      <selection activeCell="L10" sqref="L10"/>
    </sheetView>
  </sheetViews>
  <sheetFormatPr defaultColWidth="9.140625" defaultRowHeight="12.75"/>
  <cols>
    <col min="1" max="1" width="4.57421875" style="54" customWidth="1"/>
    <col min="2" max="2" width="41.00390625" style="0" customWidth="1"/>
    <col min="3" max="3" width="12.8515625" style="62" customWidth="1"/>
    <col min="4" max="4" width="9.00390625" style="0" customWidth="1"/>
    <col min="5" max="5" width="9.421875" style="58" customWidth="1"/>
    <col min="6" max="6" width="13.00390625" style="58" customWidth="1"/>
    <col min="7" max="7" width="12.7109375" style="0" customWidth="1"/>
    <col min="8" max="8" width="10.8515625" style="0" customWidth="1"/>
    <col min="9" max="9" width="12.421875" style="0" customWidth="1"/>
    <col min="10" max="10" width="6.00390625" style="0" customWidth="1"/>
    <col min="11" max="11" width="12.140625" style="0" customWidth="1"/>
    <col min="12" max="12" width="14.57421875" style="0" customWidth="1"/>
    <col min="14" max="14" width="16.7109375" style="0" customWidth="1"/>
  </cols>
  <sheetData>
    <row r="1" spans="1:12" ht="12.75">
      <c r="A1" s="310" t="s">
        <v>51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2.75">
      <c r="A2" s="310" t="s">
        <v>60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4" spans="1:12" ht="12.75">
      <c r="A4" s="314" t="s">
        <v>67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6" spans="1:12" ht="12.75">
      <c r="A6" s="311" t="s">
        <v>0</v>
      </c>
      <c r="B6" s="311" t="s">
        <v>42</v>
      </c>
      <c r="C6" s="312" t="s">
        <v>43</v>
      </c>
      <c r="D6" s="308" t="s">
        <v>44</v>
      </c>
      <c r="E6" s="313" t="s">
        <v>61</v>
      </c>
      <c r="F6" s="313" t="s">
        <v>45</v>
      </c>
      <c r="G6" s="311" t="s">
        <v>46</v>
      </c>
      <c r="H6" s="319" t="s">
        <v>62</v>
      </c>
      <c r="I6" s="319"/>
      <c r="J6" s="319" t="s">
        <v>48</v>
      </c>
      <c r="K6" s="319"/>
      <c r="L6" s="315" t="s">
        <v>72</v>
      </c>
    </row>
    <row r="7" spans="1:12" ht="25.5">
      <c r="A7" s="311"/>
      <c r="B7" s="311"/>
      <c r="C7" s="312"/>
      <c r="D7" s="309"/>
      <c r="E7" s="313"/>
      <c r="F7" s="313"/>
      <c r="G7" s="311"/>
      <c r="H7" s="60" t="s">
        <v>3</v>
      </c>
      <c r="I7" s="60" t="s">
        <v>47</v>
      </c>
      <c r="J7" s="59" t="s">
        <v>49</v>
      </c>
      <c r="K7" s="59" t="s">
        <v>50</v>
      </c>
      <c r="L7" s="316"/>
    </row>
    <row r="8" spans="1:12" ht="63.75">
      <c r="A8" s="55">
        <v>1</v>
      </c>
      <c r="B8" s="56" t="s">
        <v>52</v>
      </c>
      <c r="C8" s="67">
        <v>115000000</v>
      </c>
      <c r="D8" s="55" t="s">
        <v>54</v>
      </c>
      <c r="E8" s="63" t="s">
        <v>55</v>
      </c>
      <c r="F8" s="63" t="s">
        <v>53</v>
      </c>
      <c r="G8" s="67">
        <v>107900000</v>
      </c>
      <c r="H8" s="65" t="s">
        <v>63</v>
      </c>
      <c r="I8" s="64" t="s">
        <v>56</v>
      </c>
      <c r="J8" s="55">
        <v>100</v>
      </c>
      <c r="K8" s="67">
        <v>107900000</v>
      </c>
      <c r="L8" s="55"/>
    </row>
    <row r="9" spans="1:14" ht="63.75" customHeight="1">
      <c r="A9" s="55">
        <v>2</v>
      </c>
      <c r="B9" s="57" t="s">
        <v>74</v>
      </c>
      <c r="C9" s="67">
        <v>71074400</v>
      </c>
      <c r="D9" s="55" t="s">
        <v>54</v>
      </c>
      <c r="E9" s="63" t="s">
        <v>55</v>
      </c>
      <c r="F9" s="63" t="s">
        <v>59</v>
      </c>
      <c r="G9" s="67">
        <v>29702000</v>
      </c>
      <c r="H9" s="66" t="s">
        <v>64</v>
      </c>
      <c r="I9" s="66" t="s">
        <v>65</v>
      </c>
      <c r="J9" s="55">
        <v>100</v>
      </c>
      <c r="K9" s="67">
        <v>29702000</v>
      </c>
      <c r="L9" s="55"/>
      <c r="N9" s="62">
        <v>106651750</v>
      </c>
    </row>
    <row r="10" spans="1:14" ht="38.25">
      <c r="A10" s="55">
        <v>3</v>
      </c>
      <c r="B10" s="57" t="s">
        <v>57</v>
      </c>
      <c r="C10" s="67">
        <v>120000000</v>
      </c>
      <c r="D10" s="55" t="s">
        <v>54</v>
      </c>
      <c r="E10" s="63" t="s">
        <v>55</v>
      </c>
      <c r="F10" s="63" t="s">
        <v>58</v>
      </c>
      <c r="G10" s="67">
        <v>112265000</v>
      </c>
      <c r="H10" s="66" t="s">
        <v>71</v>
      </c>
      <c r="I10" s="64" t="s">
        <v>70</v>
      </c>
      <c r="J10" s="55">
        <v>100</v>
      </c>
      <c r="K10" s="67">
        <v>0</v>
      </c>
      <c r="L10" s="55" t="s">
        <v>73</v>
      </c>
      <c r="N10" s="62">
        <v>5613250</v>
      </c>
    </row>
    <row r="11" spans="1:14" ht="12.75">
      <c r="A11" s="76"/>
      <c r="B11" s="77"/>
      <c r="C11" s="78"/>
      <c r="D11" s="76"/>
      <c r="E11" s="79"/>
      <c r="F11" s="79"/>
      <c r="G11" s="78"/>
      <c r="H11" s="80"/>
      <c r="I11" s="81"/>
      <c r="J11" s="76"/>
      <c r="K11" s="78"/>
      <c r="L11" s="76"/>
      <c r="N11" s="62"/>
    </row>
    <row r="12" ht="12.75">
      <c r="N12" s="75">
        <f>N9+N10</f>
        <v>112265000</v>
      </c>
    </row>
    <row r="13" spans="7:11" ht="12.75">
      <c r="G13" s="317" t="s">
        <v>68</v>
      </c>
      <c r="H13" s="318"/>
      <c r="I13" s="318"/>
      <c r="J13" s="318"/>
      <c r="K13" s="318"/>
    </row>
    <row r="14" spans="7:11" ht="12.75">
      <c r="G14" s="318"/>
      <c r="H14" s="318"/>
      <c r="I14" s="318"/>
      <c r="J14" s="318"/>
      <c r="K14" s="318"/>
    </row>
    <row r="15" spans="7:11" ht="12.75">
      <c r="G15" s="317" t="s">
        <v>40</v>
      </c>
      <c r="H15" s="318"/>
      <c r="I15" s="318"/>
      <c r="J15" s="318"/>
      <c r="K15" s="318"/>
    </row>
    <row r="16" spans="7:11" ht="12.75">
      <c r="G16" s="317" t="s">
        <v>8</v>
      </c>
      <c r="H16" s="318"/>
      <c r="I16" s="318"/>
      <c r="J16" s="318"/>
      <c r="K16" s="318"/>
    </row>
    <row r="17" spans="7:11" ht="12.75">
      <c r="G17" s="61"/>
      <c r="H17" s="61"/>
      <c r="I17" s="61"/>
      <c r="J17" s="61"/>
      <c r="K17" s="61"/>
    </row>
    <row r="18" spans="7:11" ht="12.75">
      <c r="G18" s="318"/>
      <c r="H18" s="318"/>
      <c r="I18" s="318"/>
      <c r="J18" s="318"/>
      <c r="K18" s="318"/>
    </row>
    <row r="19" spans="7:11" ht="12.75">
      <c r="G19" s="318"/>
      <c r="H19" s="318"/>
      <c r="I19" s="318"/>
      <c r="J19" s="318"/>
      <c r="K19" s="318"/>
    </row>
    <row r="20" spans="7:11" ht="12.75">
      <c r="G20" s="320" t="s">
        <v>41</v>
      </c>
      <c r="H20" s="320"/>
      <c r="I20" s="320"/>
      <c r="J20" s="320"/>
      <c r="K20" s="320"/>
    </row>
    <row r="21" spans="7:11" ht="12.75">
      <c r="G21" s="317" t="s">
        <v>66</v>
      </c>
      <c r="H21" s="317"/>
      <c r="I21" s="317"/>
      <c r="J21" s="317"/>
      <c r="K21" s="317"/>
    </row>
    <row r="48" spans="2:10" ht="12.75">
      <c r="B48" s="69"/>
      <c r="C48" s="70"/>
      <c r="D48" s="70"/>
      <c r="E48" s="71"/>
      <c r="F48" s="71"/>
      <c r="G48" s="69"/>
      <c r="H48" s="69"/>
      <c r="I48" s="68"/>
      <c r="J48" s="68"/>
    </row>
    <row r="49" spans="2:14" ht="12.75">
      <c r="B49" s="72"/>
      <c r="C49" s="71"/>
      <c r="D49" s="71"/>
      <c r="E49" s="71"/>
      <c r="F49" s="69"/>
      <c r="G49" s="70"/>
      <c r="H49" s="70"/>
      <c r="I49" s="71"/>
      <c r="J49" s="71"/>
      <c r="K49" s="69"/>
      <c r="L49" s="69"/>
      <c r="M49" s="68"/>
      <c r="N49" s="68"/>
    </row>
    <row r="50" spans="2:14" ht="12.75">
      <c r="B50" s="72"/>
      <c r="C50" s="71"/>
      <c r="D50" s="71"/>
      <c r="E50" s="71"/>
      <c r="F50" s="69"/>
      <c r="G50" s="70"/>
      <c r="H50" s="70"/>
      <c r="I50" s="71"/>
      <c r="J50" s="71"/>
      <c r="K50" s="69"/>
      <c r="L50" s="69"/>
      <c r="M50" s="68"/>
      <c r="N50" s="68"/>
    </row>
    <row r="51" spans="2:14" ht="12.75">
      <c r="B51" s="72"/>
      <c r="C51" s="71"/>
      <c r="D51" s="71"/>
      <c r="E51" s="71"/>
      <c r="F51" s="69"/>
      <c r="G51" s="70"/>
      <c r="H51" s="70"/>
      <c r="I51" s="71"/>
      <c r="J51" s="71"/>
      <c r="K51" s="69"/>
      <c r="L51" s="69"/>
      <c r="M51" s="68"/>
      <c r="N51" s="68"/>
    </row>
    <row r="52" spans="2:14" ht="12.75">
      <c r="B52" s="72"/>
      <c r="C52" s="71"/>
      <c r="D52" s="71"/>
      <c r="E52" s="71"/>
      <c r="F52" s="69"/>
      <c r="G52" s="70"/>
      <c r="H52" s="70"/>
      <c r="I52" s="71"/>
      <c r="J52" s="71"/>
      <c r="K52" s="69"/>
      <c r="L52" s="69"/>
      <c r="M52" s="68"/>
      <c r="N52" s="68"/>
    </row>
    <row r="53" spans="2:14" ht="12.75">
      <c r="B53" s="72"/>
      <c r="C53" s="71"/>
      <c r="D53" s="71"/>
      <c r="E53" s="71"/>
      <c r="F53" s="69"/>
      <c r="G53" s="70"/>
      <c r="H53" s="70"/>
      <c r="I53" s="71"/>
      <c r="J53" s="71"/>
      <c r="K53" s="69"/>
      <c r="L53" s="69"/>
      <c r="M53" s="68"/>
      <c r="N53" s="68"/>
    </row>
    <row r="54" spans="2:6" ht="12.75">
      <c r="B54" s="72"/>
      <c r="C54" s="71"/>
      <c r="D54" s="71"/>
      <c r="E54" s="71"/>
      <c r="F54" s="69"/>
    </row>
  </sheetData>
  <sheetProtection/>
  <mergeCells count="21">
    <mergeCell ref="G19:K19"/>
    <mergeCell ref="F6:F7"/>
    <mergeCell ref="G21:K21"/>
    <mergeCell ref="G15:K15"/>
    <mergeCell ref="H6:I6"/>
    <mergeCell ref="J6:K6"/>
    <mergeCell ref="G13:K13"/>
    <mergeCell ref="G16:K16"/>
    <mergeCell ref="G20:K20"/>
    <mergeCell ref="G18:K18"/>
    <mergeCell ref="G14:K14"/>
    <mergeCell ref="D6:D7"/>
    <mergeCell ref="A1:L1"/>
    <mergeCell ref="A2:L2"/>
    <mergeCell ref="A6:A7"/>
    <mergeCell ref="B6:B7"/>
    <mergeCell ref="C6:C7"/>
    <mergeCell ref="E6:E7"/>
    <mergeCell ref="A4:L4"/>
    <mergeCell ref="L6:L7"/>
    <mergeCell ref="G6:G7"/>
  </mergeCells>
  <printOptions/>
  <pageMargins left="0.3937007874015748" right="0.3937007874015748" top="0.7874015748031497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58" sqref="B158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6.421875" style="3" customWidth="1"/>
    <col min="4" max="4" width="4.421875" style="3" customWidth="1"/>
    <col min="5" max="5" width="3.7109375" style="3" customWidth="1"/>
    <col min="6" max="6" width="4.8515625" style="3" customWidth="1"/>
    <col min="7" max="7" width="3.7109375" style="3" customWidth="1"/>
    <col min="8" max="8" width="3.8515625" style="3" customWidth="1"/>
    <col min="9" max="9" width="3.7109375" style="3" hidden="1" customWidth="1"/>
    <col min="10" max="10" width="13.57421875" style="3" customWidth="1"/>
    <col min="11" max="11" width="4.7109375" style="3" customWidth="1"/>
    <col min="12" max="12" width="3.28125" style="3" customWidth="1"/>
    <col min="13" max="13" width="7.57421875" style="157" customWidth="1"/>
    <col min="14" max="14" width="12.140625" style="117" customWidth="1"/>
    <col min="15" max="15" width="4.57421875" style="193" customWidth="1"/>
    <col min="16" max="16" width="5.421875" style="25" customWidth="1"/>
    <col min="17" max="17" width="5.28125" style="25" customWidth="1"/>
    <col min="18" max="18" width="11.421875" style="117" customWidth="1"/>
    <col min="19" max="19" width="12.140625" style="117" customWidth="1"/>
    <col min="20" max="20" width="12.7109375" style="117" customWidth="1"/>
    <col min="21" max="21" width="6.28125" style="193" customWidth="1"/>
    <col min="22" max="22" width="12.7109375" style="3" customWidth="1"/>
    <col min="23" max="23" width="8.28125" style="193" customWidth="1"/>
    <col min="24" max="24" width="4.28125" style="3" customWidth="1"/>
    <col min="25" max="25" width="14.28125" style="40" customWidth="1"/>
    <col min="26" max="26" width="10.28125" style="40" customWidth="1"/>
    <col min="27" max="27" width="12.421875" style="40" customWidth="1"/>
    <col min="28" max="30" width="9.140625" style="40" customWidth="1"/>
    <col min="31" max="31" width="10.421875" style="40" customWidth="1"/>
    <col min="32" max="35" width="9.140625" style="40" customWidth="1"/>
    <col min="36" max="16384" width="9.140625" style="3" customWidth="1"/>
  </cols>
  <sheetData>
    <row r="1" spans="1:35" s="24" customFormat="1" ht="15.75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51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4" s="24" customFormat="1" ht="15.75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5" s="24" customFormat="1" ht="15.75">
      <c r="A3" s="322" t="s">
        <v>162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51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4" customFormat="1" ht="15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5"/>
      <c r="P4" s="178"/>
      <c r="Q4" s="178"/>
      <c r="R4" s="278"/>
      <c r="S4" s="278"/>
      <c r="T4" s="278"/>
      <c r="U4" s="185"/>
      <c r="V4" s="178"/>
      <c r="W4" s="185"/>
      <c r="X4" s="178"/>
      <c r="Y4" s="151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4" customFormat="1" ht="16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2"/>
      <c r="O5" s="186"/>
      <c r="P5" s="152"/>
      <c r="Q5" s="152"/>
      <c r="R5" s="278"/>
      <c r="S5" s="278"/>
      <c r="T5" s="278"/>
      <c r="U5" s="185"/>
      <c r="V5" s="178"/>
      <c r="W5" s="186"/>
      <c r="X5" s="178"/>
      <c r="Y5" s="151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5" customFormat="1" ht="13.5" customHeight="1">
      <c r="A6" s="323" t="s">
        <v>0</v>
      </c>
      <c r="B6" s="323" t="s">
        <v>27</v>
      </c>
      <c r="C6" s="323" t="s">
        <v>10</v>
      </c>
      <c r="D6" s="323" t="s">
        <v>29</v>
      </c>
      <c r="E6" s="323" t="s">
        <v>36</v>
      </c>
      <c r="F6" s="323" t="s">
        <v>21</v>
      </c>
      <c r="G6" s="326" t="s">
        <v>1</v>
      </c>
      <c r="H6" s="327"/>
      <c r="I6" s="328"/>
      <c r="J6" s="323" t="s">
        <v>158</v>
      </c>
      <c r="K6" s="323" t="s">
        <v>300</v>
      </c>
      <c r="L6" s="323" t="s">
        <v>14</v>
      </c>
      <c r="M6" s="323" t="s">
        <v>26</v>
      </c>
      <c r="N6" s="329" t="s">
        <v>2</v>
      </c>
      <c r="O6" s="330"/>
      <c r="P6" s="331" t="s">
        <v>38</v>
      </c>
      <c r="Q6" s="332"/>
      <c r="R6" s="331" t="s">
        <v>32</v>
      </c>
      <c r="S6" s="334"/>
      <c r="T6" s="334"/>
      <c r="U6" s="334"/>
      <c r="V6" s="323" t="s">
        <v>35</v>
      </c>
      <c r="W6" s="335" t="s">
        <v>33</v>
      </c>
      <c r="X6" s="323" t="s">
        <v>34</v>
      </c>
      <c r="Y6" s="153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25" customFormat="1" ht="13.5">
      <c r="A7" s="324"/>
      <c r="B7" s="324"/>
      <c r="C7" s="324"/>
      <c r="D7" s="324"/>
      <c r="E7" s="324"/>
      <c r="F7" s="324"/>
      <c r="G7" s="333" t="s">
        <v>11</v>
      </c>
      <c r="H7" s="333" t="s">
        <v>12</v>
      </c>
      <c r="I7" s="333" t="s">
        <v>13</v>
      </c>
      <c r="J7" s="324"/>
      <c r="K7" s="324"/>
      <c r="L7" s="324"/>
      <c r="M7" s="324"/>
      <c r="N7" s="338" t="s">
        <v>30</v>
      </c>
      <c r="O7" s="341" t="s">
        <v>31</v>
      </c>
      <c r="P7" s="333" t="s">
        <v>3</v>
      </c>
      <c r="Q7" s="333" t="s">
        <v>23</v>
      </c>
      <c r="R7" s="342" t="s">
        <v>24</v>
      </c>
      <c r="S7" s="342" t="s">
        <v>25</v>
      </c>
      <c r="T7" s="342" t="s">
        <v>15</v>
      </c>
      <c r="U7" s="345" t="s">
        <v>4</v>
      </c>
      <c r="V7" s="324"/>
      <c r="W7" s="336"/>
      <c r="X7" s="324"/>
      <c r="Y7" s="153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25" customFormat="1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39"/>
      <c r="O8" s="336"/>
      <c r="P8" s="324"/>
      <c r="Q8" s="324"/>
      <c r="R8" s="343"/>
      <c r="S8" s="343"/>
      <c r="T8" s="343"/>
      <c r="U8" s="346"/>
      <c r="V8" s="324"/>
      <c r="W8" s="336"/>
      <c r="X8" s="324"/>
      <c r="Y8" s="153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5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40"/>
      <c r="O9" s="337"/>
      <c r="P9" s="325"/>
      <c r="Q9" s="325"/>
      <c r="R9" s="344"/>
      <c r="S9" s="344"/>
      <c r="T9" s="344"/>
      <c r="U9" s="347"/>
      <c r="V9" s="325"/>
      <c r="W9" s="337"/>
      <c r="X9" s="325"/>
      <c r="Y9" s="153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27" customFormat="1" ht="13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/>
      <c r="K10" s="167">
        <v>11</v>
      </c>
      <c r="L10" s="167">
        <v>12</v>
      </c>
      <c r="M10" s="223">
        <v>13</v>
      </c>
      <c r="N10" s="224">
        <v>14</v>
      </c>
      <c r="O10" s="225">
        <v>15</v>
      </c>
      <c r="P10" s="167">
        <v>16</v>
      </c>
      <c r="Q10" s="167">
        <v>17</v>
      </c>
      <c r="R10" s="224">
        <v>18</v>
      </c>
      <c r="S10" s="224">
        <v>19</v>
      </c>
      <c r="T10" s="224">
        <v>20</v>
      </c>
      <c r="U10" s="225">
        <v>21</v>
      </c>
      <c r="V10" s="167">
        <v>22</v>
      </c>
      <c r="W10" s="225">
        <v>23</v>
      </c>
      <c r="X10" s="167">
        <v>24</v>
      </c>
      <c r="Y10" s="226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25" s="43" customFormat="1" ht="13.5" customHeight="1">
      <c r="A11" s="228" t="s">
        <v>18</v>
      </c>
      <c r="B11" s="229" t="s">
        <v>163</v>
      </c>
      <c r="C11" s="228"/>
      <c r="D11" s="228"/>
      <c r="E11" s="228"/>
      <c r="F11" s="228"/>
      <c r="G11" s="228"/>
      <c r="H11" s="228"/>
      <c r="I11" s="228"/>
      <c r="J11" s="230">
        <f>J12+J24</f>
        <v>11246303956</v>
      </c>
      <c r="K11" s="230"/>
      <c r="L11" s="230"/>
      <c r="M11" s="230"/>
      <c r="N11" s="230">
        <f>N12+N24</f>
        <v>2183412790</v>
      </c>
      <c r="O11" s="231">
        <f>N11/J11*100</f>
        <v>19.414492072616714</v>
      </c>
      <c r="P11" s="230"/>
      <c r="Q11" s="230"/>
      <c r="R11" s="230">
        <f>R12+R24</f>
        <v>106094632</v>
      </c>
      <c r="S11" s="230">
        <f>S12+S24</f>
        <v>0</v>
      </c>
      <c r="T11" s="230">
        <f>T12+T24</f>
        <v>106094632</v>
      </c>
      <c r="U11" s="231">
        <f>T11/N11*100</f>
        <v>4.859119287287861</v>
      </c>
      <c r="V11" s="230">
        <f>V12+V24</f>
        <v>11140209324</v>
      </c>
      <c r="W11" s="231">
        <f>V11/J11*100</f>
        <v>99.0566266711705</v>
      </c>
      <c r="X11" s="230"/>
      <c r="Y11" s="226"/>
    </row>
    <row r="12" spans="1:25" s="43" customFormat="1" ht="13.5" customHeight="1">
      <c r="A12" s="232"/>
      <c r="B12" s="233" t="s">
        <v>164</v>
      </c>
      <c r="C12" s="234"/>
      <c r="D12" s="234"/>
      <c r="E12" s="234"/>
      <c r="F12" s="234"/>
      <c r="G12" s="232"/>
      <c r="H12" s="232"/>
      <c r="I12" s="232"/>
      <c r="J12" s="235">
        <f>J13</f>
        <v>767318206</v>
      </c>
      <c r="K12" s="235"/>
      <c r="L12" s="235"/>
      <c r="M12" s="235"/>
      <c r="N12" s="235">
        <f>N13</f>
        <v>61951300</v>
      </c>
      <c r="O12" s="236">
        <f aca="true" t="shared" si="0" ref="O12:O23">N12/J12*100</f>
        <v>8.07374300721336</v>
      </c>
      <c r="P12" s="235"/>
      <c r="Q12" s="235"/>
      <c r="R12" s="235">
        <f>R13</f>
        <v>11994632</v>
      </c>
      <c r="S12" s="235">
        <f>S13</f>
        <v>0</v>
      </c>
      <c r="T12" s="235">
        <f>T13</f>
        <v>11994632</v>
      </c>
      <c r="U12" s="236">
        <f aca="true" t="shared" si="1" ref="U12:U23">T12/N12*100</f>
        <v>19.36138870370759</v>
      </c>
      <c r="V12" s="235">
        <f>V13</f>
        <v>755323574</v>
      </c>
      <c r="W12" s="236">
        <f aca="true" t="shared" si="2" ref="W12:W23">V12/J12*100</f>
        <v>98.43681123343501</v>
      </c>
      <c r="X12" s="235"/>
      <c r="Y12" s="226"/>
    </row>
    <row r="13" spans="1:25" s="43" customFormat="1" ht="13.5" customHeight="1">
      <c r="A13" s="237"/>
      <c r="B13" s="238" t="s">
        <v>83</v>
      </c>
      <c r="C13" s="237"/>
      <c r="D13" s="237"/>
      <c r="E13" s="237"/>
      <c r="F13" s="237"/>
      <c r="G13" s="237"/>
      <c r="H13" s="237"/>
      <c r="I13" s="237"/>
      <c r="J13" s="239">
        <f>J14+J22</f>
        <v>767318206</v>
      </c>
      <c r="K13" s="239"/>
      <c r="L13" s="239"/>
      <c r="M13" s="239"/>
      <c r="N13" s="239">
        <f>N14+N22</f>
        <v>61951300</v>
      </c>
      <c r="O13" s="240">
        <f t="shared" si="0"/>
        <v>8.07374300721336</v>
      </c>
      <c r="P13" s="239"/>
      <c r="Q13" s="239"/>
      <c r="R13" s="239">
        <f>R14+R22</f>
        <v>11994632</v>
      </c>
      <c r="S13" s="239">
        <f>S14+S22</f>
        <v>0</v>
      </c>
      <c r="T13" s="239">
        <f>T14+T22</f>
        <v>11994632</v>
      </c>
      <c r="U13" s="240">
        <f t="shared" si="1"/>
        <v>19.36138870370759</v>
      </c>
      <c r="V13" s="239">
        <f>V14+V22</f>
        <v>755323574</v>
      </c>
      <c r="W13" s="240">
        <f t="shared" si="2"/>
        <v>98.43681123343501</v>
      </c>
      <c r="X13" s="239"/>
      <c r="Y13" s="226"/>
    </row>
    <row r="14" spans="1:25" s="43" customFormat="1" ht="13.5" customHeight="1">
      <c r="A14" s="241"/>
      <c r="B14" s="242" t="s">
        <v>165</v>
      </c>
      <c r="C14" s="276" t="s">
        <v>301</v>
      </c>
      <c r="D14" s="241" t="s">
        <v>175</v>
      </c>
      <c r="E14" s="241">
        <v>12</v>
      </c>
      <c r="F14" s="241" t="s">
        <v>176</v>
      </c>
      <c r="G14" s="10" t="s">
        <v>28</v>
      </c>
      <c r="H14" s="102" t="s">
        <v>5</v>
      </c>
      <c r="I14" s="241"/>
      <c r="J14" s="243">
        <f>SUM(J15:J21)</f>
        <v>167318206</v>
      </c>
      <c r="K14" s="241"/>
      <c r="L14" s="241"/>
      <c r="M14" s="105"/>
      <c r="N14" s="244">
        <f>SUM(N15:N21)</f>
        <v>11951300</v>
      </c>
      <c r="O14" s="245">
        <f t="shared" si="0"/>
        <v>7.142856886715604</v>
      </c>
      <c r="P14" s="170" t="s">
        <v>139</v>
      </c>
      <c r="Q14" s="170" t="s">
        <v>139</v>
      </c>
      <c r="R14" s="244">
        <f>SUM(R15:R21)</f>
        <v>11994632</v>
      </c>
      <c r="S14" s="244">
        <f>SUM(S15:S21)</f>
        <v>0</v>
      </c>
      <c r="T14" s="244">
        <f>SUM(T15:T21)</f>
        <v>11994632</v>
      </c>
      <c r="U14" s="245">
        <f t="shared" si="1"/>
        <v>100.36257143574339</v>
      </c>
      <c r="V14" s="244">
        <f>SUM(V15:V21)</f>
        <v>155323574</v>
      </c>
      <c r="W14" s="245">
        <f t="shared" si="2"/>
        <v>92.83124515451713</v>
      </c>
      <c r="X14" s="244"/>
      <c r="Y14" s="226"/>
    </row>
    <row r="15" spans="1:25" s="44" customFormat="1" ht="13.5" customHeight="1">
      <c r="A15" s="246"/>
      <c r="B15" s="247" t="s">
        <v>166</v>
      </c>
      <c r="C15" s="277" t="s">
        <v>134</v>
      </c>
      <c r="D15" s="246" t="s">
        <v>175</v>
      </c>
      <c r="E15" s="246">
        <v>12</v>
      </c>
      <c r="F15" s="246" t="s">
        <v>176</v>
      </c>
      <c r="G15" s="9" t="s">
        <v>28</v>
      </c>
      <c r="H15" s="5" t="s">
        <v>5</v>
      </c>
      <c r="I15" s="246"/>
      <c r="J15" s="248">
        <v>54600000</v>
      </c>
      <c r="K15" s="246"/>
      <c r="L15" s="246"/>
      <c r="M15" s="7" t="s">
        <v>78</v>
      </c>
      <c r="N15" s="249">
        <v>3900000</v>
      </c>
      <c r="O15" s="250">
        <f t="shared" si="0"/>
        <v>7.142857142857142</v>
      </c>
      <c r="P15" s="91" t="s">
        <v>139</v>
      </c>
      <c r="Q15" s="91" t="s">
        <v>139</v>
      </c>
      <c r="R15" s="249">
        <v>3900000</v>
      </c>
      <c r="S15" s="249"/>
      <c r="T15" s="249">
        <f aca="true" t="shared" si="3" ref="T15:T23">R15+S15</f>
        <v>3900000</v>
      </c>
      <c r="U15" s="250">
        <f t="shared" si="1"/>
        <v>100</v>
      </c>
      <c r="V15" s="251">
        <f>J15-T15</f>
        <v>50700000</v>
      </c>
      <c r="W15" s="250">
        <f t="shared" si="2"/>
        <v>92.85714285714286</v>
      </c>
      <c r="X15" s="246"/>
      <c r="Y15" s="252"/>
    </row>
    <row r="16" spans="1:25" s="44" customFormat="1" ht="13.5" customHeight="1">
      <c r="A16" s="246"/>
      <c r="B16" s="247" t="s">
        <v>167</v>
      </c>
      <c r="C16" s="277" t="s">
        <v>108</v>
      </c>
      <c r="D16" s="246" t="s">
        <v>175</v>
      </c>
      <c r="E16" s="246">
        <v>12</v>
      </c>
      <c r="F16" s="246" t="s">
        <v>176</v>
      </c>
      <c r="G16" s="9" t="s">
        <v>28</v>
      </c>
      <c r="H16" s="5" t="s">
        <v>5</v>
      </c>
      <c r="I16" s="246"/>
      <c r="J16" s="248">
        <v>7140000</v>
      </c>
      <c r="K16" s="246"/>
      <c r="L16" s="246"/>
      <c r="M16" s="7" t="s">
        <v>78</v>
      </c>
      <c r="N16" s="249">
        <v>510000</v>
      </c>
      <c r="O16" s="250">
        <f t="shared" si="0"/>
        <v>7.142857142857142</v>
      </c>
      <c r="P16" s="91" t="s">
        <v>139</v>
      </c>
      <c r="Q16" s="91" t="s">
        <v>139</v>
      </c>
      <c r="R16" s="249">
        <v>510000</v>
      </c>
      <c r="S16" s="249"/>
      <c r="T16" s="249">
        <f t="shared" si="3"/>
        <v>510000</v>
      </c>
      <c r="U16" s="250">
        <f t="shared" si="1"/>
        <v>100</v>
      </c>
      <c r="V16" s="251">
        <f aca="true" t="shared" si="4" ref="V16:V23">J16-T16</f>
        <v>6630000</v>
      </c>
      <c r="W16" s="250">
        <f t="shared" si="2"/>
        <v>92.85714285714286</v>
      </c>
      <c r="X16" s="246"/>
      <c r="Y16" s="252"/>
    </row>
    <row r="17" spans="1:25" s="44" customFormat="1" ht="13.5" customHeight="1">
      <c r="A17" s="246"/>
      <c r="B17" s="247" t="s">
        <v>168</v>
      </c>
      <c r="C17" s="277" t="s">
        <v>267</v>
      </c>
      <c r="D17" s="246" t="s">
        <v>175</v>
      </c>
      <c r="E17" s="246">
        <v>12</v>
      </c>
      <c r="F17" s="246" t="s">
        <v>176</v>
      </c>
      <c r="G17" s="9" t="s">
        <v>28</v>
      </c>
      <c r="H17" s="5" t="s">
        <v>5</v>
      </c>
      <c r="I17" s="246"/>
      <c r="J17" s="248">
        <v>98280000</v>
      </c>
      <c r="K17" s="246"/>
      <c r="L17" s="246"/>
      <c r="M17" s="7" t="s">
        <v>78</v>
      </c>
      <c r="N17" s="249">
        <v>7020000</v>
      </c>
      <c r="O17" s="250">
        <f t="shared" si="0"/>
        <v>7.142857142857142</v>
      </c>
      <c r="P17" s="91" t="s">
        <v>139</v>
      </c>
      <c r="Q17" s="91" t="s">
        <v>139</v>
      </c>
      <c r="R17" s="249">
        <v>7020000</v>
      </c>
      <c r="S17" s="249"/>
      <c r="T17" s="249">
        <f t="shared" si="3"/>
        <v>7020000</v>
      </c>
      <c r="U17" s="250">
        <f t="shared" si="1"/>
        <v>100</v>
      </c>
      <c r="V17" s="251">
        <f t="shared" si="4"/>
        <v>91260000</v>
      </c>
      <c r="W17" s="250">
        <f t="shared" si="2"/>
        <v>92.85714285714286</v>
      </c>
      <c r="X17" s="246"/>
      <c r="Y17" s="252"/>
    </row>
    <row r="18" spans="1:25" s="44" customFormat="1" ht="13.5" customHeight="1">
      <c r="A18" s="246"/>
      <c r="B18" s="247" t="s">
        <v>169</v>
      </c>
      <c r="C18" s="277" t="s">
        <v>267</v>
      </c>
      <c r="D18" s="246" t="s">
        <v>175</v>
      </c>
      <c r="E18" s="246">
        <v>12</v>
      </c>
      <c r="F18" s="246" t="s">
        <v>176</v>
      </c>
      <c r="G18" s="9" t="s">
        <v>28</v>
      </c>
      <c r="H18" s="5" t="s">
        <v>5</v>
      </c>
      <c r="I18" s="246"/>
      <c r="J18" s="248">
        <v>6144110</v>
      </c>
      <c r="K18" s="246"/>
      <c r="L18" s="246"/>
      <c r="M18" s="7" t="s">
        <v>78</v>
      </c>
      <c r="N18" s="249">
        <v>438865</v>
      </c>
      <c r="O18" s="250">
        <f t="shared" si="0"/>
        <v>7.142857142857142</v>
      </c>
      <c r="P18" s="91" t="s">
        <v>139</v>
      </c>
      <c r="Q18" s="91" t="s">
        <v>139</v>
      </c>
      <c r="R18" s="249">
        <v>506940</v>
      </c>
      <c r="S18" s="249"/>
      <c r="T18" s="249">
        <f t="shared" si="3"/>
        <v>506940</v>
      </c>
      <c r="U18" s="250">
        <f>T18/N18*100</f>
        <v>115.511603796156</v>
      </c>
      <c r="V18" s="251">
        <f t="shared" si="4"/>
        <v>5637170</v>
      </c>
      <c r="W18" s="250">
        <f t="shared" si="2"/>
        <v>91.74917115741744</v>
      </c>
      <c r="X18" s="246"/>
      <c r="Y18" s="252"/>
    </row>
    <row r="19" spans="1:25" s="44" customFormat="1" ht="13.5" customHeight="1">
      <c r="A19" s="246"/>
      <c r="B19" s="247" t="s">
        <v>170</v>
      </c>
      <c r="C19" s="277" t="s">
        <v>302</v>
      </c>
      <c r="D19" s="246" t="s">
        <v>175</v>
      </c>
      <c r="E19" s="246">
        <v>12</v>
      </c>
      <c r="F19" s="246" t="s">
        <v>176</v>
      </c>
      <c r="G19" s="9" t="s">
        <v>28</v>
      </c>
      <c r="H19" s="5" t="s">
        <v>5</v>
      </c>
      <c r="I19" s="246"/>
      <c r="J19" s="248">
        <v>703976</v>
      </c>
      <c r="K19" s="246"/>
      <c r="L19" s="246"/>
      <c r="M19" s="7" t="s">
        <v>78</v>
      </c>
      <c r="N19" s="249">
        <v>50284</v>
      </c>
      <c r="O19" s="250">
        <f t="shared" si="0"/>
        <v>7.142857142857142</v>
      </c>
      <c r="P19" s="91" t="s">
        <v>139</v>
      </c>
      <c r="Q19" s="91" t="s">
        <v>139</v>
      </c>
      <c r="R19" s="249">
        <v>20092</v>
      </c>
      <c r="S19" s="249"/>
      <c r="T19" s="249">
        <f t="shared" si="3"/>
        <v>20092</v>
      </c>
      <c r="U19" s="250">
        <f t="shared" si="1"/>
        <v>39.95704399013603</v>
      </c>
      <c r="V19" s="251">
        <f t="shared" si="4"/>
        <v>683884</v>
      </c>
      <c r="W19" s="250">
        <f t="shared" si="2"/>
        <v>97.145925429276</v>
      </c>
      <c r="X19" s="246"/>
      <c r="Y19" s="252"/>
    </row>
    <row r="20" spans="1:25" s="44" customFormat="1" ht="13.5" customHeight="1">
      <c r="A20" s="246"/>
      <c r="B20" s="247" t="s">
        <v>171</v>
      </c>
      <c r="C20" s="277" t="s">
        <v>268</v>
      </c>
      <c r="D20" s="246" t="s">
        <v>175</v>
      </c>
      <c r="E20" s="246">
        <v>12</v>
      </c>
      <c r="F20" s="246" t="s">
        <v>176</v>
      </c>
      <c r="G20" s="9" t="s">
        <v>28</v>
      </c>
      <c r="H20" s="5" t="s">
        <v>5</v>
      </c>
      <c r="I20" s="246"/>
      <c r="J20" s="248">
        <v>840</v>
      </c>
      <c r="K20" s="246"/>
      <c r="L20" s="246"/>
      <c r="M20" s="7" t="s">
        <v>78</v>
      </c>
      <c r="N20" s="249">
        <v>60</v>
      </c>
      <c r="O20" s="250">
        <f t="shared" si="0"/>
        <v>7.142857142857142</v>
      </c>
      <c r="P20" s="91" t="s">
        <v>139</v>
      </c>
      <c r="Q20" s="91" t="s">
        <v>139</v>
      </c>
      <c r="R20" s="249">
        <v>160</v>
      </c>
      <c r="S20" s="249"/>
      <c r="T20" s="249">
        <f t="shared" si="3"/>
        <v>160</v>
      </c>
      <c r="U20" s="250">
        <f t="shared" si="1"/>
        <v>266.66666666666663</v>
      </c>
      <c r="V20" s="251">
        <f t="shared" si="4"/>
        <v>680</v>
      </c>
      <c r="W20" s="250">
        <f t="shared" si="2"/>
        <v>80.95238095238095</v>
      </c>
      <c r="X20" s="246"/>
      <c r="Y20" s="252"/>
    </row>
    <row r="21" spans="1:25" s="44" customFormat="1" ht="22.5" customHeight="1">
      <c r="A21" s="246"/>
      <c r="B21" s="247" t="s">
        <v>172</v>
      </c>
      <c r="C21" s="277" t="s">
        <v>303</v>
      </c>
      <c r="D21" s="246" t="s">
        <v>175</v>
      </c>
      <c r="E21" s="246">
        <v>12</v>
      </c>
      <c r="F21" s="246" t="s">
        <v>176</v>
      </c>
      <c r="G21" s="9" t="s">
        <v>28</v>
      </c>
      <c r="H21" s="5" t="s">
        <v>5</v>
      </c>
      <c r="I21" s="246"/>
      <c r="J21" s="248">
        <v>449280</v>
      </c>
      <c r="K21" s="246"/>
      <c r="L21" s="246"/>
      <c r="M21" s="7" t="s">
        <v>78</v>
      </c>
      <c r="N21" s="249">
        <v>32091</v>
      </c>
      <c r="O21" s="250">
        <f t="shared" si="0"/>
        <v>7.142761752136752</v>
      </c>
      <c r="P21" s="91" t="s">
        <v>139</v>
      </c>
      <c r="Q21" s="91" t="s">
        <v>139</v>
      </c>
      <c r="R21" s="249">
        <v>37440</v>
      </c>
      <c r="S21" s="249"/>
      <c r="T21" s="249">
        <f t="shared" si="3"/>
        <v>37440</v>
      </c>
      <c r="U21" s="250">
        <f t="shared" si="1"/>
        <v>116.66822473590726</v>
      </c>
      <c r="V21" s="251">
        <f t="shared" si="4"/>
        <v>411840</v>
      </c>
      <c r="W21" s="250">
        <f t="shared" si="2"/>
        <v>91.66666666666666</v>
      </c>
      <c r="X21" s="246"/>
      <c r="Y21" s="252"/>
    </row>
    <row r="22" spans="1:25" s="259" customFormat="1" ht="26.25" customHeight="1">
      <c r="A22" s="219"/>
      <c r="B22" s="253" t="s">
        <v>173</v>
      </c>
      <c r="C22" s="218" t="s">
        <v>227</v>
      </c>
      <c r="D22" s="219" t="s">
        <v>175</v>
      </c>
      <c r="E22" s="219">
        <v>12</v>
      </c>
      <c r="F22" s="219" t="s">
        <v>176</v>
      </c>
      <c r="G22" s="206" t="s">
        <v>28</v>
      </c>
      <c r="H22" s="207" t="s">
        <v>5</v>
      </c>
      <c r="I22" s="219"/>
      <c r="J22" s="254">
        <v>600000000</v>
      </c>
      <c r="K22" s="219"/>
      <c r="L22" s="219"/>
      <c r="M22" s="255"/>
      <c r="N22" s="256">
        <f>SUM(N23)</f>
        <v>50000000</v>
      </c>
      <c r="O22" s="257">
        <f t="shared" si="0"/>
        <v>8.333333333333332</v>
      </c>
      <c r="P22" s="275" t="s">
        <v>139</v>
      </c>
      <c r="Q22" s="275" t="s">
        <v>139</v>
      </c>
      <c r="R22" s="256">
        <f>SUM(R23)</f>
        <v>0</v>
      </c>
      <c r="S22" s="256">
        <f>SUM(S23)</f>
        <v>0</v>
      </c>
      <c r="T22" s="256">
        <f>SUM(T23)</f>
        <v>0</v>
      </c>
      <c r="U22" s="257">
        <f t="shared" si="1"/>
        <v>0</v>
      </c>
      <c r="V22" s="256">
        <f>SUM(V23)</f>
        <v>600000000</v>
      </c>
      <c r="W22" s="257">
        <f t="shared" si="2"/>
        <v>100</v>
      </c>
      <c r="X22" s="256"/>
      <c r="Y22" s="258"/>
    </row>
    <row r="23" spans="1:25" s="298" customFormat="1" ht="24" customHeight="1">
      <c r="A23" s="284"/>
      <c r="B23" s="285" t="s">
        <v>174</v>
      </c>
      <c r="C23" s="286" t="s">
        <v>207</v>
      </c>
      <c r="D23" s="287" t="s">
        <v>175</v>
      </c>
      <c r="E23" s="284">
        <v>12</v>
      </c>
      <c r="F23" s="287" t="s">
        <v>176</v>
      </c>
      <c r="G23" s="288" t="s">
        <v>28</v>
      </c>
      <c r="H23" s="289" t="s">
        <v>5</v>
      </c>
      <c r="I23" s="284"/>
      <c r="J23" s="290">
        <v>600000000</v>
      </c>
      <c r="K23" s="284"/>
      <c r="L23" s="284"/>
      <c r="M23" s="291" t="s">
        <v>78</v>
      </c>
      <c r="N23" s="292">
        <v>50000000</v>
      </c>
      <c r="O23" s="293">
        <f t="shared" si="0"/>
        <v>8.333333333333332</v>
      </c>
      <c r="P23" s="294" t="s">
        <v>139</v>
      </c>
      <c r="Q23" s="294" t="s">
        <v>139</v>
      </c>
      <c r="R23" s="292">
        <v>0</v>
      </c>
      <c r="S23" s="292"/>
      <c r="T23" s="295">
        <f t="shared" si="3"/>
        <v>0</v>
      </c>
      <c r="U23" s="293">
        <f t="shared" si="1"/>
        <v>0</v>
      </c>
      <c r="V23" s="296">
        <f t="shared" si="4"/>
        <v>600000000</v>
      </c>
      <c r="W23" s="293">
        <f t="shared" si="2"/>
        <v>100</v>
      </c>
      <c r="X23" s="284"/>
      <c r="Y23" s="297"/>
    </row>
    <row r="24" spans="1:35" s="26" customFormat="1" ht="16.5" customHeight="1">
      <c r="A24" s="260"/>
      <c r="B24" s="261" t="s">
        <v>6</v>
      </c>
      <c r="C24" s="260"/>
      <c r="D24" s="260"/>
      <c r="E24" s="260"/>
      <c r="F24" s="260"/>
      <c r="G24" s="260"/>
      <c r="H24" s="260"/>
      <c r="I24" s="260"/>
      <c r="J24" s="262">
        <f>J25+J73+J103</f>
        <v>10478985750</v>
      </c>
      <c r="K24" s="262"/>
      <c r="L24" s="262"/>
      <c r="M24" s="262"/>
      <c r="N24" s="262">
        <f>N25+N73+N103</f>
        <v>2121461490</v>
      </c>
      <c r="O24" s="302">
        <f>N24/J24*100</f>
        <v>20.244912442981423</v>
      </c>
      <c r="P24" s="262"/>
      <c r="Q24" s="262"/>
      <c r="R24" s="262">
        <f>R25+R73+R103</f>
        <v>94100000</v>
      </c>
      <c r="S24" s="262">
        <f>S25+S73+S103</f>
        <v>0</v>
      </c>
      <c r="T24" s="262">
        <f>T25+T73+T103</f>
        <v>94100000</v>
      </c>
      <c r="U24" s="262">
        <f>T24/N24*100</f>
        <v>4.435621407391185</v>
      </c>
      <c r="V24" s="262">
        <f>V25+V73+V103</f>
        <v>10384885750</v>
      </c>
      <c r="W24" s="262">
        <f>V24/J24*100</f>
        <v>99.10201232977151</v>
      </c>
      <c r="X24" s="262"/>
      <c r="Y24" s="263"/>
      <c r="Z24" s="45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26" customFormat="1" ht="12" customHeight="1">
      <c r="A25" s="348" t="s">
        <v>18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1">
        <f>J27</f>
        <v>4264879350</v>
      </c>
      <c r="K25" s="351"/>
      <c r="L25" s="351"/>
      <c r="M25" s="351"/>
      <c r="N25" s="351">
        <f>N27</f>
        <v>465799390</v>
      </c>
      <c r="O25" s="351">
        <f>N25/J25*100</f>
        <v>10.92174834910629</v>
      </c>
      <c r="P25" s="351"/>
      <c r="Q25" s="351"/>
      <c r="R25" s="351">
        <f>R27</f>
        <v>67100000</v>
      </c>
      <c r="S25" s="351">
        <f>S27</f>
        <v>0</v>
      </c>
      <c r="T25" s="351">
        <f>T27</f>
        <v>67100000</v>
      </c>
      <c r="U25" s="351">
        <v>0</v>
      </c>
      <c r="V25" s="351">
        <f>V27</f>
        <v>4197779350</v>
      </c>
      <c r="W25" s="351">
        <f>V25/J25*100</f>
        <v>98.42668468452689</v>
      </c>
      <c r="X25" s="351"/>
      <c r="Y25" s="52"/>
      <c r="Z25" s="45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26" customFormat="1" ht="13.5" customHeight="1">
      <c r="A26" s="348"/>
      <c r="B26" s="349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41"/>
      <c r="Z26" s="45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140" customFormat="1" ht="27.75" customHeight="1">
      <c r="A27" s="130"/>
      <c r="B27" s="131" t="s">
        <v>82</v>
      </c>
      <c r="C27" s="130" t="s">
        <v>107</v>
      </c>
      <c r="D27" s="132" t="s">
        <v>37</v>
      </c>
      <c r="E27" s="132" t="s">
        <v>140</v>
      </c>
      <c r="F27" s="132" t="s">
        <v>181</v>
      </c>
      <c r="G27" s="130" t="s">
        <v>28</v>
      </c>
      <c r="H27" s="132" t="s">
        <v>5</v>
      </c>
      <c r="I27" s="130" t="s">
        <v>28</v>
      </c>
      <c r="J27" s="133">
        <f>J28+J39</f>
        <v>4264879350</v>
      </c>
      <c r="K27" s="133"/>
      <c r="L27" s="133"/>
      <c r="M27" s="133"/>
      <c r="N27" s="133">
        <f>N28+N39</f>
        <v>465799390</v>
      </c>
      <c r="O27" s="133">
        <f>N27/J27*100</f>
        <v>10.92174834910629</v>
      </c>
      <c r="P27" s="133"/>
      <c r="Q27" s="133"/>
      <c r="R27" s="133">
        <f>R28+R39</f>
        <v>67100000</v>
      </c>
      <c r="S27" s="133">
        <f>S28+S39</f>
        <v>0</v>
      </c>
      <c r="T27" s="133">
        <f>T28+T39</f>
        <v>67100000</v>
      </c>
      <c r="U27" s="133">
        <f>T27/N27*100</f>
        <v>14.405343038341034</v>
      </c>
      <c r="V27" s="133">
        <f>V28+V39</f>
        <v>4197779350</v>
      </c>
      <c r="W27" s="133">
        <f>V27/J27*100</f>
        <v>98.42668468452689</v>
      </c>
      <c r="X27" s="133"/>
      <c r="Y27" s="106"/>
      <c r="Z27" s="45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126" customFormat="1" ht="13.5">
      <c r="A28" s="118">
        <v>1</v>
      </c>
      <c r="B28" s="119" t="s">
        <v>83</v>
      </c>
      <c r="C28" s="118"/>
      <c r="D28" s="120"/>
      <c r="E28" s="120"/>
      <c r="F28" s="120"/>
      <c r="G28" s="118"/>
      <c r="H28" s="120"/>
      <c r="I28" s="118" t="s">
        <v>28</v>
      </c>
      <c r="J28" s="121">
        <f>J29+J37</f>
        <v>137744000</v>
      </c>
      <c r="K28" s="121"/>
      <c r="L28" s="121"/>
      <c r="M28" s="121"/>
      <c r="N28" s="121">
        <f>N29+N37</f>
        <v>11534750</v>
      </c>
      <c r="O28" s="121">
        <f>N28/J28*100</f>
        <v>8.374048960390288</v>
      </c>
      <c r="P28" s="121"/>
      <c r="Q28" s="121"/>
      <c r="R28" s="121">
        <f>R29+R37</f>
        <v>0</v>
      </c>
      <c r="S28" s="121">
        <f>S29+S37</f>
        <v>0</v>
      </c>
      <c r="T28" s="121">
        <f>T29+T37</f>
        <v>0</v>
      </c>
      <c r="U28" s="121">
        <f>T28/N28*100</f>
        <v>0</v>
      </c>
      <c r="V28" s="121">
        <f>V29+V37</f>
        <v>137744000</v>
      </c>
      <c r="W28" s="121">
        <f>V28/J28*100</f>
        <v>100</v>
      </c>
      <c r="X28" s="121"/>
      <c r="Y28" s="106"/>
      <c r="Z28" s="45"/>
      <c r="AA28" s="173"/>
      <c r="AB28" s="43"/>
      <c r="AC28" s="43"/>
      <c r="AD28" s="43"/>
      <c r="AE28" s="43"/>
      <c r="AF28" s="43"/>
      <c r="AG28" s="43"/>
      <c r="AH28" s="43"/>
      <c r="AI28" s="43"/>
    </row>
    <row r="29" spans="1:35" s="26" customFormat="1" ht="13.5">
      <c r="A29" s="10"/>
      <c r="B29" s="94" t="s">
        <v>84</v>
      </c>
      <c r="C29" s="10" t="s">
        <v>111</v>
      </c>
      <c r="D29" s="102" t="s">
        <v>37</v>
      </c>
      <c r="E29" s="102" t="s">
        <v>140</v>
      </c>
      <c r="F29" s="102" t="s">
        <v>181</v>
      </c>
      <c r="G29" s="10" t="s">
        <v>28</v>
      </c>
      <c r="H29" s="102" t="s">
        <v>5</v>
      </c>
      <c r="I29" s="102"/>
      <c r="J29" s="98">
        <f>SUM(J30:J36)</f>
        <v>40667000</v>
      </c>
      <c r="K29" s="105"/>
      <c r="L29" s="105"/>
      <c r="M29" s="105"/>
      <c r="N29" s="111">
        <f>SUM(N30:N36)</f>
        <v>3534750</v>
      </c>
      <c r="O29" s="195">
        <f>N29/J29*100</f>
        <v>8.691936951336464</v>
      </c>
      <c r="P29" s="170" t="s">
        <v>139</v>
      </c>
      <c r="Q29" s="170" t="s">
        <v>139</v>
      </c>
      <c r="R29" s="89">
        <f>SUM(R30:R34)</f>
        <v>0</v>
      </c>
      <c r="S29" s="89">
        <f>SUM(S30:S34)</f>
        <v>0</v>
      </c>
      <c r="T29" s="89">
        <f>SUM(T30:T34)</f>
        <v>0</v>
      </c>
      <c r="U29" s="204">
        <f>T29/N29*100</f>
        <v>0</v>
      </c>
      <c r="V29" s="86">
        <f>SUM(V30:V36)</f>
        <v>40667000</v>
      </c>
      <c r="W29" s="188">
        <f>V29/J29*100</f>
        <v>100</v>
      </c>
      <c r="X29" s="105"/>
      <c r="Y29" s="106"/>
      <c r="Z29" s="45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25" customFormat="1" ht="13.5">
      <c r="A30" s="9"/>
      <c r="B30" s="74" t="s">
        <v>85</v>
      </c>
      <c r="C30" s="9" t="s">
        <v>108</v>
      </c>
      <c r="D30" s="5" t="s">
        <v>37</v>
      </c>
      <c r="E30" s="5" t="s">
        <v>140</v>
      </c>
      <c r="F30" s="5" t="s">
        <v>181</v>
      </c>
      <c r="G30" s="9" t="s">
        <v>28</v>
      </c>
      <c r="H30" s="5" t="s">
        <v>5</v>
      </c>
      <c r="I30" s="9" t="s">
        <v>28</v>
      </c>
      <c r="J30" s="11">
        <v>8414000</v>
      </c>
      <c r="K30" s="36"/>
      <c r="L30" s="37"/>
      <c r="M30" s="7" t="s">
        <v>78</v>
      </c>
      <c r="N30" s="112">
        <v>847000</v>
      </c>
      <c r="O30" s="196">
        <f>N30/J30*100</f>
        <v>10.066555740432612</v>
      </c>
      <c r="P30" s="91" t="s">
        <v>139</v>
      </c>
      <c r="Q30" s="91" t="s">
        <v>139</v>
      </c>
      <c r="R30" s="88"/>
      <c r="S30" s="88"/>
      <c r="T30" s="88">
        <f aca="true" t="shared" si="5" ref="T30:T36">R30+S30</f>
        <v>0</v>
      </c>
      <c r="U30" s="205">
        <v>0</v>
      </c>
      <c r="V30" s="8">
        <f>J30-T30</f>
        <v>8414000</v>
      </c>
      <c r="W30" s="189">
        <f aca="true" t="shared" si="6" ref="W30:W38">V30/J30*100</f>
        <v>100</v>
      </c>
      <c r="X30" s="7"/>
      <c r="Y30" s="38"/>
      <c r="Z30" s="46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25" customFormat="1" ht="17.25" customHeight="1">
      <c r="A31" s="9"/>
      <c r="B31" s="97" t="s">
        <v>142</v>
      </c>
      <c r="C31" s="9" t="s">
        <v>113</v>
      </c>
      <c r="D31" s="5" t="s">
        <v>37</v>
      </c>
      <c r="E31" s="5" t="s">
        <v>140</v>
      </c>
      <c r="F31" s="5" t="s">
        <v>181</v>
      </c>
      <c r="G31" s="9" t="s">
        <v>28</v>
      </c>
      <c r="H31" s="5" t="s">
        <v>5</v>
      </c>
      <c r="I31" s="5"/>
      <c r="J31" s="11">
        <v>2808000</v>
      </c>
      <c r="K31" s="7"/>
      <c r="L31" s="7"/>
      <c r="M31" s="7" t="s">
        <v>78</v>
      </c>
      <c r="N31" s="53">
        <v>234000</v>
      </c>
      <c r="O31" s="196">
        <f aca="true" t="shared" si="7" ref="O31:O37">N31/J31*100</f>
        <v>8.333333333333332</v>
      </c>
      <c r="P31" s="91" t="s">
        <v>139</v>
      </c>
      <c r="Q31" s="91" t="s">
        <v>139</v>
      </c>
      <c r="R31" s="88"/>
      <c r="S31" s="88"/>
      <c r="T31" s="88">
        <f t="shared" si="5"/>
        <v>0</v>
      </c>
      <c r="U31" s="205">
        <f aca="true" t="shared" si="8" ref="U31:U72">T31/N31*100</f>
        <v>0</v>
      </c>
      <c r="V31" s="8">
        <f aca="true" t="shared" si="9" ref="V31:V36">J31-T31</f>
        <v>2808000</v>
      </c>
      <c r="W31" s="189">
        <f t="shared" si="6"/>
        <v>100</v>
      </c>
      <c r="X31" s="7"/>
      <c r="Y31" s="38"/>
      <c r="Z31" s="46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25" customFormat="1" ht="13.5">
      <c r="A32" s="9"/>
      <c r="B32" s="74" t="s">
        <v>86</v>
      </c>
      <c r="C32" s="9" t="s">
        <v>109</v>
      </c>
      <c r="D32" s="5" t="s">
        <v>37</v>
      </c>
      <c r="E32" s="5" t="s">
        <v>140</v>
      </c>
      <c r="F32" s="5" t="s">
        <v>181</v>
      </c>
      <c r="G32" s="9" t="s">
        <v>28</v>
      </c>
      <c r="H32" s="5" t="s">
        <v>5</v>
      </c>
      <c r="I32" s="9" t="s">
        <v>28</v>
      </c>
      <c r="J32" s="11">
        <v>1200000</v>
      </c>
      <c r="K32" s="36"/>
      <c r="L32" s="37"/>
      <c r="M32" s="7" t="s">
        <v>78</v>
      </c>
      <c r="N32" s="112">
        <v>100000</v>
      </c>
      <c r="O32" s="196">
        <f t="shared" si="7"/>
        <v>8.333333333333332</v>
      </c>
      <c r="P32" s="91" t="s">
        <v>139</v>
      </c>
      <c r="Q32" s="91" t="s">
        <v>139</v>
      </c>
      <c r="R32" s="88"/>
      <c r="S32" s="88"/>
      <c r="T32" s="88">
        <f t="shared" si="5"/>
        <v>0</v>
      </c>
      <c r="U32" s="205">
        <f t="shared" si="8"/>
        <v>0</v>
      </c>
      <c r="V32" s="8">
        <f t="shared" si="9"/>
        <v>1200000</v>
      </c>
      <c r="W32" s="189">
        <f t="shared" si="6"/>
        <v>100</v>
      </c>
      <c r="X32" s="7"/>
      <c r="Y32" s="38"/>
      <c r="Z32" s="46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25" customFormat="1" ht="13.5">
      <c r="A33" s="9"/>
      <c r="B33" s="6" t="s">
        <v>145</v>
      </c>
      <c r="C33" s="9" t="s">
        <v>146</v>
      </c>
      <c r="D33" s="5" t="s">
        <v>37</v>
      </c>
      <c r="E33" s="5" t="s">
        <v>140</v>
      </c>
      <c r="F33" s="5" t="s">
        <v>181</v>
      </c>
      <c r="G33" s="9" t="s">
        <v>28</v>
      </c>
      <c r="H33" s="5" t="s">
        <v>5</v>
      </c>
      <c r="I33" s="9"/>
      <c r="J33" s="11">
        <v>8772000</v>
      </c>
      <c r="K33" s="36"/>
      <c r="L33" s="37"/>
      <c r="M33" s="7" t="s">
        <v>78</v>
      </c>
      <c r="N33" s="112">
        <v>731000</v>
      </c>
      <c r="O33" s="196">
        <f t="shared" si="7"/>
        <v>8.333333333333332</v>
      </c>
      <c r="P33" s="91" t="s">
        <v>139</v>
      </c>
      <c r="Q33" s="91" t="s">
        <v>139</v>
      </c>
      <c r="R33" s="88"/>
      <c r="S33" s="88"/>
      <c r="T33" s="88">
        <f t="shared" si="5"/>
        <v>0</v>
      </c>
      <c r="U33" s="205">
        <f t="shared" si="8"/>
        <v>0</v>
      </c>
      <c r="V33" s="8">
        <f t="shared" si="9"/>
        <v>8772000</v>
      </c>
      <c r="W33" s="189">
        <f t="shared" si="6"/>
        <v>100</v>
      </c>
      <c r="X33" s="7"/>
      <c r="Y33" s="38"/>
      <c r="Z33" s="46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25" customFormat="1" ht="13.5">
      <c r="A34" s="9"/>
      <c r="B34" s="6" t="s">
        <v>148</v>
      </c>
      <c r="C34" s="9" t="s">
        <v>147</v>
      </c>
      <c r="D34" s="5" t="s">
        <v>37</v>
      </c>
      <c r="E34" s="5" t="s">
        <v>140</v>
      </c>
      <c r="F34" s="5" t="s">
        <v>181</v>
      </c>
      <c r="G34" s="9" t="s">
        <v>28</v>
      </c>
      <c r="H34" s="5" t="s">
        <v>5</v>
      </c>
      <c r="I34" s="9"/>
      <c r="J34" s="11">
        <v>8775000</v>
      </c>
      <c r="K34" s="36"/>
      <c r="L34" s="37"/>
      <c r="M34" s="7" t="s">
        <v>78</v>
      </c>
      <c r="N34" s="177">
        <v>731250</v>
      </c>
      <c r="O34" s="196">
        <f t="shared" si="7"/>
        <v>8.333333333333332</v>
      </c>
      <c r="P34" s="91" t="s">
        <v>139</v>
      </c>
      <c r="Q34" s="91" t="s">
        <v>139</v>
      </c>
      <c r="R34" s="88"/>
      <c r="S34" s="88"/>
      <c r="T34" s="88">
        <f t="shared" si="5"/>
        <v>0</v>
      </c>
      <c r="U34" s="205">
        <f t="shared" si="8"/>
        <v>0</v>
      </c>
      <c r="V34" s="8">
        <f t="shared" si="9"/>
        <v>8775000</v>
      </c>
      <c r="W34" s="189">
        <f t="shared" si="6"/>
        <v>100</v>
      </c>
      <c r="X34" s="7"/>
      <c r="Y34" s="38"/>
      <c r="Z34" s="46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s="25" customFormat="1" ht="13.5">
      <c r="A35" s="9"/>
      <c r="B35" s="6" t="s">
        <v>177</v>
      </c>
      <c r="C35" s="9" t="s">
        <v>179</v>
      </c>
      <c r="D35" s="5" t="s">
        <v>37</v>
      </c>
      <c r="E35" s="5" t="s">
        <v>140</v>
      </c>
      <c r="F35" s="5" t="s">
        <v>181</v>
      </c>
      <c r="G35" s="9"/>
      <c r="H35" s="5"/>
      <c r="I35" s="9"/>
      <c r="J35" s="11">
        <v>6348000</v>
      </c>
      <c r="K35" s="36"/>
      <c r="L35" s="37"/>
      <c r="M35" s="7" t="s">
        <v>78</v>
      </c>
      <c r="N35" s="177">
        <v>529000</v>
      </c>
      <c r="O35" s="196">
        <f t="shared" si="7"/>
        <v>8.333333333333332</v>
      </c>
      <c r="P35" s="91" t="s">
        <v>139</v>
      </c>
      <c r="Q35" s="91" t="s">
        <v>139</v>
      </c>
      <c r="R35" s="88"/>
      <c r="S35" s="88"/>
      <c r="T35" s="88">
        <f t="shared" si="5"/>
        <v>0</v>
      </c>
      <c r="U35" s="205">
        <f t="shared" si="8"/>
        <v>0</v>
      </c>
      <c r="V35" s="8">
        <f t="shared" si="9"/>
        <v>6348000</v>
      </c>
      <c r="W35" s="189">
        <f t="shared" si="6"/>
        <v>100</v>
      </c>
      <c r="X35" s="7"/>
      <c r="Y35" s="38"/>
      <c r="Z35" s="46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5" customFormat="1" ht="13.5">
      <c r="A36" s="9"/>
      <c r="B36" s="6" t="s">
        <v>178</v>
      </c>
      <c r="C36" s="9" t="s">
        <v>180</v>
      </c>
      <c r="D36" s="5" t="s">
        <v>37</v>
      </c>
      <c r="E36" s="5" t="s">
        <v>140</v>
      </c>
      <c r="F36" s="5" t="s">
        <v>181</v>
      </c>
      <c r="G36" s="9"/>
      <c r="H36" s="5"/>
      <c r="I36" s="9"/>
      <c r="J36" s="11">
        <v>4350000</v>
      </c>
      <c r="K36" s="36"/>
      <c r="L36" s="37"/>
      <c r="M36" s="7" t="s">
        <v>78</v>
      </c>
      <c r="N36" s="177">
        <v>362500</v>
      </c>
      <c r="O36" s="196">
        <f t="shared" si="7"/>
        <v>8.333333333333332</v>
      </c>
      <c r="P36" s="91" t="s">
        <v>139</v>
      </c>
      <c r="Q36" s="91" t="s">
        <v>139</v>
      </c>
      <c r="R36" s="88"/>
      <c r="S36" s="88"/>
      <c r="T36" s="88">
        <f t="shared" si="5"/>
        <v>0</v>
      </c>
      <c r="U36" s="205">
        <f t="shared" si="8"/>
        <v>0</v>
      </c>
      <c r="V36" s="8">
        <f t="shared" si="9"/>
        <v>4350000</v>
      </c>
      <c r="W36" s="189">
        <f t="shared" si="6"/>
        <v>100</v>
      </c>
      <c r="X36" s="7"/>
      <c r="Y36" s="38"/>
      <c r="Z36" s="46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26" customFormat="1" ht="13.5">
      <c r="A37" s="10"/>
      <c r="B37" s="94" t="s">
        <v>160</v>
      </c>
      <c r="C37" s="10" t="s">
        <v>161</v>
      </c>
      <c r="D37" s="102" t="s">
        <v>37</v>
      </c>
      <c r="E37" s="102" t="s">
        <v>140</v>
      </c>
      <c r="F37" s="102" t="s">
        <v>181</v>
      </c>
      <c r="G37" s="10" t="s">
        <v>28</v>
      </c>
      <c r="H37" s="102" t="s">
        <v>5</v>
      </c>
      <c r="I37" s="10"/>
      <c r="J37" s="98">
        <f>J38</f>
        <v>97077000</v>
      </c>
      <c r="K37" s="103"/>
      <c r="L37" s="104"/>
      <c r="M37" s="105"/>
      <c r="N37" s="179">
        <f>N38</f>
        <v>8000000</v>
      </c>
      <c r="O37" s="195">
        <f t="shared" si="7"/>
        <v>8.240880950173574</v>
      </c>
      <c r="P37" s="170" t="s">
        <v>139</v>
      </c>
      <c r="Q37" s="170" t="s">
        <v>139</v>
      </c>
      <c r="R37" s="89">
        <f>R38</f>
        <v>0</v>
      </c>
      <c r="S37" s="88">
        <f>S38</f>
        <v>0</v>
      </c>
      <c r="T37" s="89">
        <f>T38</f>
        <v>0</v>
      </c>
      <c r="U37" s="204">
        <f t="shared" si="8"/>
        <v>0</v>
      </c>
      <c r="V37" s="86">
        <f>V38</f>
        <v>97077000</v>
      </c>
      <c r="W37" s="188">
        <f t="shared" si="6"/>
        <v>100</v>
      </c>
      <c r="X37" s="105"/>
      <c r="Y37" s="106"/>
      <c r="Z37" s="45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25" customFormat="1" ht="13.5">
      <c r="A38" s="9"/>
      <c r="B38" s="6" t="s">
        <v>159</v>
      </c>
      <c r="C38" s="9" t="s">
        <v>110</v>
      </c>
      <c r="D38" s="5" t="s">
        <v>37</v>
      </c>
      <c r="E38" s="5" t="s">
        <v>140</v>
      </c>
      <c r="F38" s="5" t="s">
        <v>181</v>
      </c>
      <c r="G38" s="9" t="s">
        <v>28</v>
      </c>
      <c r="H38" s="5" t="s">
        <v>5</v>
      </c>
      <c r="I38" s="9"/>
      <c r="J38" s="11">
        <v>97077000</v>
      </c>
      <c r="K38" s="36"/>
      <c r="L38" s="37"/>
      <c r="M38" s="7" t="s">
        <v>78</v>
      </c>
      <c r="N38" s="177">
        <v>8000000</v>
      </c>
      <c r="O38" s="196">
        <f>N38/J38*100</f>
        <v>8.240880950173574</v>
      </c>
      <c r="P38" s="91" t="s">
        <v>139</v>
      </c>
      <c r="Q38" s="91" t="s">
        <v>139</v>
      </c>
      <c r="R38" s="88"/>
      <c r="S38" s="88"/>
      <c r="T38" s="88">
        <f>R38+S38</f>
        <v>0</v>
      </c>
      <c r="U38" s="204">
        <f t="shared" si="8"/>
        <v>0</v>
      </c>
      <c r="V38" s="8">
        <f>J38-T38</f>
        <v>97077000</v>
      </c>
      <c r="W38" s="189">
        <f t="shared" si="6"/>
        <v>100</v>
      </c>
      <c r="X38" s="7"/>
      <c r="Y38" s="38"/>
      <c r="Z38" s="46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26" customFormat="1" ht="13.5">
      <c r="A39" s="118">
        <v>2</v>
      </c>
      <c r="B39" s="119" t="s">
        <v>79</v>
      </c>
      <c r="C39" s="118"/>
      <c r="D39" s="120"/>
      <c r="E39" s="120"/>
      <c r="F39" s="120"/>
      <c r="G39" s="118"/>
      <c r="H39" s="120"/>
      <c r="I39" s="118"/>
      <c r="J39" s="121">
        <f>J40+J45+J53+J56+J59+J64+J67+J70</f>
        <v>4127135350</v>
      </c>
      <c r="K39" s="121"/>
      <c r="L39" s="121"/>
      <c r="M39" s="121"/>
      <c r="N39" s="121">
        <f>N40+N45+N53+N56+N59+N64+N67+N70</f>
        <v>454264640</v>
      </c>
      <c r="O39" s="121">
        <f>N39/J39*100</f>
        <v>11.00677834566293</v>
      </c>
      <c r="P39" s="121"/>
      <c r="Q39" s="121"/>
      <c r="R39" s="123">
        <f>R40+R45+R53+R56+R59+R64+R67+R70</f>
        <v>67100000</v>
      </c>
      <c r="S39" s="123">
        <f>S40+S45+S53+S56+S59+S64+S67+S70</f>
        <v>0</v>
      </c>
      <c r="T39" s="123">
        <f>T40+T45+T53+T56+T59+T64+T67+T70</f>
        <v>67100000</v>
      </c>
      <c r="U39" s="203">
        <f>T39/N39*100</f>
        <v>14.77112548315449</v>
      </c>
      <c r="V39" s="121">
        <f>V40+V45+V53+V56+V59+V64+V67+V70</f>
        <v>4060035350</v>
      </c>
      <c r="W39" s="121">
        <f>V39/J39*100</f>
        <v>98.37417495890945</v>
      </c>
      <c r="X39" s="121"/>
      <c r="Y39" s="106"/>
      <c r="Z39" s="45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26" customFormat="1" ht="13.5">
      <c r="A40" s="10"/>
      <c r="B40" s="94" t="s">
        <v>87</v>
      </c>
      <c r="C40" s="10" t="s">
        <v>112</v>
      </c>
      <c r="D40" s="102" t="s">
        <v>37</v>
      </c>
      <c r="E40" s="102" t="s">
        <v>140</v>
      </c>
      <c r="F40" s="102" t="s">
        <v>181</v>
      </c>
      <c r="G40" s="10" t="s">
        <v>28</v>
      </c>
      <c r="H40" s="102" t="s">
        <v>5</v>
      </c>
      <c r="I40" s="10" t="s">
        <v>28</v>
      </c>
      <c r="J40" s="264">
        <f>SUM(J41:J44)</f>
        <v>46928570</v>
      </c>
      <c r="K40" s="104"/>
      <c r="L40" s="104"/>
      <c r="M40" s="105"/>
      <c r="N40" s="110">
        <f>SUM(N41:N44)</f>
        <v>3000950</v>
      </c>
      <c r="O40" s="195">
        <f aca="true" t="shared" si="10" ref="O40:O72">N40/J40*100</f>
        <v>6.394718611711374</v>
      </c>
      <c r="P40" s="170" t="s">
        <v>139</v>
      </c>
      <c r="Q40" s="170" t="s">
        <v>139</v>
      </c>
      <c r="R40" s="89">
        <f>SUM(R42:R43)</f>
        <v>0</v>
      </c>
      <c r="S40" s="89">
        <f>SUM(S42:S43)</f>
        <v>0</v>
      </c>
      <c r="T40" s="89">
        <f>SUM(T42:T43)</f>
        <v>0</v>
      </c>
      <c r="U40" s="204">
        <f>T40/N40*100</f>
        <v>0</v>
      </c>
      <c r="V40" s="86">
        <f>SUM(V41:V44)</f>
        <v>46928570</v>
      </c>
      <c r="W40" s="303">
        <f>V40/J40*100</f>
        <v>100</v>
      </c>
      <c r="X40" s="105"/>
      <c r="Y40" s="106"/>
      <c r="Z40" s="45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25" customFormat="1" ht="13.5">
      <c r="A41" s="9"/>
      <c r="B41" s="6" t="s">
        <v>182</v>
      </c>
      <c r="C41" s="9" t="s">
        <v>134</v>
      </c>
      <c r="D41" s="5" t="s">
        <v>37</v>
      </c>
      <c r="E41" s="5" t="s">
        <v>306</v>
      </c>
      <c r="F41" s="5" t="s">
        <v>181</v>
      </c>
      <c r="G41" s="9" t="s">
        <v>28</v>
      </c>
      <c r="H41" s="5" t="s">
        <v>5</v>
      </c>
      <c r="I41" s="9"/>
      <c r="J41" s="265">
        <v>10720000</v>
      </c>
      <c r="K41" s="37"/>
      <c r="L41" s="37"/>
      <c r="M41" s="7" t="s">
        <v>78</v>
      </c>
      <c r="N41" s="112">
        <v>0</v>
      </c>
      <c r="O41" s="196"/>
      <c r="P41" s="91" t="s">
        <v>139</v>
      </c>
      <c r="Q41" s="91" t="s">
        <v>139</v>
      </c>
      <c r="R41" s="88"/>
      <c r="S41" s="88"/>
      <c r="T41" s="88">
        <f>R41+S41</f>
        <v>0</v>
      </c>
      <c r="U41" s="204">
        <v>0</v>
      </c>
      <c r="V41" s="8">
        <f>J41-T41</f>
        <v>10720000</v>
      </c>
      <c r="W41" s="304">
        <f aca="true" t="shared" si="11" ref="W41:W72">V41/J41*100</f>
        <v>100</v>
      </c>
      <c r="X41" s="7"/>
      <c r="Y41" s="38"/>
      <c r="Z41" s="46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25" customFormat="1" ht="14.25" customHeight="1">
      <c r="A42" s="9"/>
      <c r="B42" s="73" t="s">
        <v>88</v>
      </c>
      <c r="C42" s="9" t="s">
        <v>113</v>
      </c>
      <c r="D42" s="5" t="s">
        <v>37</v>
      </c>
      <c r="E42" s="5" t="s">
        <v>140</v>
      </c>
      <c r="F42" s="5" t="s">
        <v>181</v>
      </c>
      <c r="G42" s="9" t="s">
        <v>28</v>
      </c>
      <c r="H42" s="5" t="s">
        <v>5</v>
      </c>
      <c r="I42" s="5"/>
      <c r="J42" s="265">
        <v>10500000</v>
      </c>
      <c r="K42" s="7"/>
      <c r="L42" s="7"/>
      <c r="M42" s="7" t="s">
        <v>78</v>
      </c>
      <c r="N42" s="112">
        <v>875000</v>
      </c>
      <c r="O42" s="196">
        <f>N42/J42*100</f>
        <v>8.333333333333332</v>
      </c>
      <c r="P42" s="91" t="s">
        <v>139</v>
      </c>
      <c r="Q42" s="91" t="s">
        <v>139</v>
      </c>
      <c r="R42" s="88"/>
      <c r="S42" s="88"/>
      <c r="T42" s="88">
        <f>R42+S42</f>
        <v>0</v>
      </c>
      <c r="U42" s="204">
        <f>T42/N42*100</f>
        <v>0</v>
      </c>
      <c r="V42" s="8">
        <f>J42-T42</f>
        <v>10500000</v>
      </c>
      <c r="W42" s="304">
        <f t="shared" si="11"/>
        <v>100</v>
      </c>
      <c r="X42" s="7"/>
      <c r="Y42" s="38"/>
      <c r="Z42" s="46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25" customFormat="1" ht="15" customHeight="1">
      <c r="A43" s="9"/>
      <c r="B43" s="73" t="s">
        <v>89</v>
      </c>
      <c r="C43" s="9" t="s">
        <v>109</v>
      </c>
      <c r="D43" s="5" t="s">
        <v>37</v>
      </c>
      <c r="E43" s="5" t="s">
        <v>140</v>
      </c>
      <c r="F43" s="5" t="s">
        <v>181</v>
      </c>
      <c r="G43" s="9" t="s">
        <v>28</v>
      </c>
      <c r="H43" s="5" t="s">
        <v>5</v>
      </c>
      <c r="I43" s="9" t="s">
        <v>28</v>
      </c>
      <c r="J43" s="265">
        <v>5703570</v>
      </c>
      <c r="K43" s="36"/>
      <c r="L43" s="37"/>
      <c r="M43" s="7" t="s">
        <v>78</v>
      </c>
      <c r="N43" s="112">
        <v>475950</v>
      </c>
      <c r="O43" s="196">
        <f t="shared" si="10"/>
        <v>8.344773536574461</v>
      </c>
      <c r="P43" s="91" t="s">
        <v>139</v>
      </c>
      <c r="Q43" s="91" t="s">
        <v>139</v>
      </c>
      <c r="R43" s="88"/>
      <c r="S43" s="88"/>
      <c r="T43" s="88">
        <f aca="true" t="shared" si="12" ref="T43:T72">R43+S43</f>
        <v>0</v>
      </c>
      <c r="U43" s="204">
        <f t="shared" si="8"/>
        <v>0</v>
      </c>
      <c r="V43" s="8">
        <f aca="true" t="shared" si="13" ref="V43:V72">J43-T43</f>
        <v>5703570</v>
      </c>
      <c r="W43" s="304">
        <f t="shared" si="11"/>
        <v>100</v>
      </c>
      <c r="X43" s="7"/>
      <c r="Y43" s="38"/>
      <c r="Z43" s="46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25" customFormat="1" ht="15" customHeight="1">
      <c r="A44" s="9"/>
      <c r="B44" s="266" t="s">
        <v>183</v>
      </c>
      <c r="C44" s="9" t="s">
        <v>206</v>
      </c>
      <c r="D44" s="5" t="s">
        <v>37</v>
      </c>
      <c r="E44" s="5" t="s">
        <v>140</v>
      </c>
      <c r="F44" s="5" t="s">
        <v>181</v>
      </c>
      <c r="G44" s="9" t="s">
        <v>28</v>
      </c>
      <c r="H44" s="5" t="s">
        <v>5</v>
      </c>
      <c r="I44" s="9"/>
      <c r="J44" s="265">
        <v>20005000</v>
      </c>
      <c r="K44" s="36"/>
      <c r="L44" s="37"/>
      <c r="M44" s="7" t="s">
        <v>78</v>
      </c>
      <c r="N44" s="112">
        <v>1650000</v>
      </c>
      <c r="O44" s="196">
        <f t="shared" si="10"/>
        <v>8.247938015496125</v>
      </c>
      <c r="P44" s="91" t="s">
        <v>139</v>
      </c>
      <c r="Q44" s="91" t="s">
        <v>139</v>
      </c>
      <c r="R44" s="88"/>
      <c r="S44" s="88"/>
      <c r="T44" s="88">
        <f t="shared" si="12"/>
        <v>0</v>
      </c>
      <c r="U44" s="204">
        <f t="shared" si="8"/>
        <v>0</v>
      </c>
      <c r="V44" s="8">
        <f t="shared" si="13"/>
        <v>20005000</v>
      </c>
      <c r="W44" s="304">
        <f t="shared" si="11"/>
        <v>100</v>
      </c>
      <c r="X44" s="7"/>
      <c r="Y44" s="38"/>
      <c r="Z44" s="46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26" customFormat="1" ht="15" customHeight="1">
      <c r="A45" s="10"/>
      <c r="B45" s="267" t="s">
        <v>106</v>
      </c>
      <c r="C45" s="159">
        <v>2003</v>
      </c>
      <c r="D45" s="102" t="s">
        <v>37</v>
      </c>
      <c r="E45" s="102" t="s">
        <v>140</v>
      </c>
      <c r="F45" s="102" t="s">
        <v>181</v>
      </c>
      <c r="G45" s="10" t="s">
        <v>28</v>
      </c>
      <c r="H45" s="102" t="s">
        <v>5</v>
      </c>
      <c r="I45" s="10"/>
      <c r="J45" s="264">
        <f>SUM(J46:J52)</f>
        <v>807135000</v>
      </c>
      <c r="K45" s="103"/>
      <c r="L45" s="104"/>
      <c r="M45" s="105"/>
      <c r="N45" s="110">
        <f>SUM(N46:N52)</f>
        <v>65661250</v>
      </c>
      <c r="O45" s="195">
        <f t="shared" si="10"/>
        <v>8.135101315145546</v>
      </c>
      <c r="P45" s="170" t="s">
        <v>139</v>
      </c>
      <c r="Q45" s="170" t="s">
        <v>139</v>
      </c>
      <c r="R45" s="89"/>
      <c r="S45" s="89"/>
      <c r="T45" s="89">
        <f t="shared" si="12"/>
        <v>0</v>
      </c>
      <c r="U45" s="204">
        <f t="shared" si="8"/>
        <v>0</v>
      </c>
      <c r="V45" s="86">
        <f>SUM(V46:V52)</f>
        <v>807135000</v>
      </c>
      <c r="W45" s="303">
        <f t="shared" si="11"/>
        <v>100</v>
      </c>
      <c r="X45" s="105"/>
      <c r="Y45" s="106"/>
      <c r="Z45" s="45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25" customFormat="1" ht="15" customHeight="1">
      <c r="A46" s="9"/>
      <c r="B46" s="266" t="s">
        <v>90</v>
      </c>
      <c r="C46" s="9" t="s">
        <v>110</v>
      </c>
      <c r="D46" s="5" t="s">
        <v>37</v>
      </c>
      <c r="E46" s="5" t="s">
        <v>140</v>
      </c>
      <c r="F46" s="5" t="s">
        <v>181</v>
      </c>
      <c r="G46" s="9" t="s">
        <v>28</v>
      </c>
      <c r="H46" s="5" t="s">
        <v>5</v>
      </c>
      <c r="I46" s="9"/>
      <c r="J46" s="265">
        <v>96960000</v>
      </c>
      <c r="K46" s="36"/>
      <c r="L46" s="37"/>
      <c r="M46" s="7" t="s">
        <v>78</v>
      </c>
      <c r="N46" s="112">
        <v>8080000</v>
      </c>
      <c r="O46" s="196">
        <f t="shared" si="10"/>
        <v>8.333333333333332</v>
      </c>
      <c r="P46" s="91" t="s">
        <v>139</v>
      </c>
      <c r="Q46" s="91" t="s">
        <v>139</v>
      </c>
      <c r="R46" s="88"/>
      <c r="S46" s="88"/>
      <c r="T46" s="88">
        <f t="shared" si="12"/>
        <v>0</v>
      </c>
      <c r="U46" s="204">
        <f t="shared" si="8"/>
        <v>0</v>
      </c>
      <c r="V46" s="8">
        <f t="shared" si="13"/>
        <v>96960000</v>
      </c>
      <c r="W46" s="304">
        <f t="shared" si="11"/>
        <v>100</v>
      </c>
      <c r="X46" s="7"/>
      <c r="Y46" s="38"/>
      <c r="Z46" s="46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5" customFormat="1" ht="15" customHeight="1">
      <c r="A47" s="9"/>
      <c r="B47" s="266" t="s">
        <v>184</v>
      </c>
      <c r="C47" s="9" t="s">
        <v>207</v>
      </c>
      <c r="D47" s="5" t="s">
        <v>37</v>
      </c>
      <c r="E47" s="5" t="s">
        <v>140</v>
      </c>
      <c r="F47" s="5" t="s">
        <v>181</v>
      </c>
      <c r="G47" s="9" t="s">
        <v>28</v>
      </c>
      <c r="H47" s="5" t="s">
        <v>5</v>
      </c>
      <c r="I47" s="9"/>
      <c r="J47" s="265">
        <v>48000000</v>
      </c>
      <c r="K47" s="36"/>
      <c r="L47" s="37"/>
      <c r="M47" s="7" t="s">
        <v>221</v>
      </c>
      <c r="N47" s="112">
        <v>4000000</v>
      </c>
      <c r="O47" s="196">
        <f t="shared" si="10"/>
        <v>8.333333333333332</v>
      </c>
      <c r="P47" s="91" t="s">
        <v>139</v>
      </c>
      <c r="Q47" s="91" t="s">
        <v>139</v>
      </c>
      <c r="R47" s="88"/>
      <c r="S47" s="88"/>
      <c r="T47" s="88">
        <f t="shared" si="12"/>
        <v>0</v>
      </c>
      <c r="U47" s="204">
        <f t="shared" si="8"/>
        <v>0</v>
      </c>
      <c r="V47" s="8">
        <f t="shared" si="13"/>
        <v>48000000</v>
      </c>
      <c r="W47" s="304">
        <f t="shared" si="11"/>
        <v>100</v>
      </c>
      <c r="X47" s="7"/>
      <c r="Y47" s="38"/>
      <c r="Z47" s="46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25" customFormat="1" ht="15" customHeight="1">
      <c r="A48" s="9"/>
      <c r="B48" s="266" t="s">
        <v>185</v>
      </c>
      <c r="C48" s="9" t="s">
        <v>208</v>
      </c>
      <c r="D48" s="5" t="s">
        <v>37</v>
      </c>
      <c r="E48" s="5" t="s">
        <v>140</v>
      </c>
      <c r="F48" s="5" t="s">
        <v>181</v>
      </c>
      <c r="G48" s="9" t="s">
        <v>28</v>
      </c>
      <c r="H48" s="5" t="s">
        <v>5</v>
      </c>
      <c r="I48" s="9"/>
      <c r="J48" s="265">
        <v>531900000</v>
      </c>
      <c r="K48" s="36"/>
      <c r="L48" s="37"/>
      <c r="M48" s="7" t="s">
        <v>221</v>
      </c>
      <c r="N48" s="112">
        <v>44325000</v>
      </c>
      <c r="O48" s="196">
        <f t="shared" si="10"/>
        <v>8.333333333333332</v>
      </c>
      <c r="P48" s="91" t="s">
        <v>139</v>
      </c>
      <c r="Q48" s="91" t="s">
        <v>139</v>
      </c>
      <c r="R48" s="88"/>
      <c r="S48" s="88"/>
      <c r="T48" s="88">
        <f t="shared" si="12"/>
        <v>0</v>
      </c>
      <c r="U48" s="204">
        <f t="shared" si="8"/>
        <v>0</v>
      </c>
      <c r="V48" s="8">
        <f t="shared" si="13"/>
        <v>531900000</v>
      </c>
      <c r="W48" s="304">
        <f t="shared" si="11"/>
        <v>100</v>
      </c>
      <c r="X48" s="7"/>
      <c r="Y48" s="38"/>
      <c r="Z48" s="46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25" customFormat="1" ht="15" customHeight="1">
      <c r="A49" s="9"/>
      <c r="B49" s="266" t="s">
        <v>186</v>
      </c>
      <c r="C49" s="9" t="s">
        <v>209</v>
      </c>
      <c r="D49" s="5" t="s">
        <v>37</v>
      </c>
      <c r="E49" s="5" t="s">
        <v>140</v>
      </c>
      <c r="F49" s="5" t="s">
        <v>181</v>
      </c>
      <c r="G49" s="9" t="s">
        <v>28</v>
      </c>
      <c r="H49" s="5" t="s">
        <v>5</v>
      </c>
      <c r="I49" s="9"/>
      <c r="J49" s="265">
        <v>50400000</v>
      </c>
      <c r="K49" s="36"/>
      <c r="L49" s="37"/>
      <c r="M49" s="7" t="s">
        <v>78</v>
      </c>
      <c r="N49" s="112">
        <v>4200000</v>
      </c>
      <c r="O49" s="196">
        <f t="shared" si="10"/>
        <v>8.333333333333332</v>
      </c>
      <c r="P49" s="91" t="s">
        <v>139</v>
      </c>
      <c r="Q49" s="91" t="s">
        <v>139</v>
      </c>
      <c r="R49" s="88"/>
      <c r="S49" s="88"/>
      <c r="T49" s="88">
        <f t="shared" si="12"/>
        <v>0</v>
      </c>
      <c r="U49" s="204">
        <f t="shared" si="8"/>
        <v>0</v>
      </c>
      <c r="V49" s="8">
        <f t="shared" si="13"/>
        <v>50400000</v>
      </c>
      <c r="W49" s="304">
        <f t="shared" si="11"/>
        <v>100</v>
      </c>
      <c r="X49" s="7"/>
      <c r="Y49" s="38"/>
      <c r="Z49" s="46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25" customFormat="1" ht="15" customHeight="1">
      <c r="A50" s="9"/>
      <c r="B50" s="266" t="s">
        <v>187</v>
      </c>
      <c r="C50" s="9" t="s">
        <v>115</v>
      </c>
      <c r="D50" s="5" t="s">
        <v>37</v>
      </c>
      <c r="E50" s="5" t="s">
        <v>140</v>
      </c>
      <c r="F50" s="5" t="s">
        <v>181</v>
      </c>
      <c r="G50" s="9" t="s">
        <v>28</v>
      </c>
      <c r="H50" s="5" t="s">
        <v>5</v>
      </c>
      <c r="I50" s="9"/>
      <c r="J50" s="265">
        <v>59475000</v>
      </c>
      <c r="K50" s="36"/>
      <c r="L50" s="37"/>
      <c r="M50" s="7" t="s">
        <v>78</v>
      </c>
      <c r="N50" s="112">
        <v>4956250</v>
      </c>
      <c r="O50" s="196">
        <f t="shared" si="10"/>
        <v>8.333333333333332</v>
      </c>
      <c r="P50" s="91" t="s">
        <v>139</v>
      </c>
      <c r="Q50" s="91" t="s">
        <v>139</v>
      </c>
      <c r="R50" s="88"/>
      <c r="S50" s="88"/>
      <c r="T50" s="88">
        <f t="shared" si="12"/>
        <v>0</v>
      </c>
      <c r="U50" s="204">
        <f t="shared" si="8"/>
        <v>0</v>
      </c>
      <c r="V50" s="8">
        <f t="shared" si="13"/>
        <v>59475000</v>
      </c>
      <c r="W50" s="304">
        <f t="shared" si="11"/>
        <v>100</v>
      </c>
      <c r="X50" s="7"/>
      <c r="Y50" s="38"/>
      <c r="Z50" s="46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25" customFormat="1" ht="27" customHeight="1">
      <c r="A51" s="9"/>
      <c r="B51" s="266" t="s">
        <v>188</v>
      </c>
      <c r="C51" s="9" t="s">
        <v>210</v>
      </c>
      <c r="D51" s="5" t="s">
        <v>37</v>
      </c>
      <c r="E51" s="5" t="s">
        <v>307</v>
      </c>
      <c r="F51" s="5" t="s">
        <v>181</v>
      </c>
      <c r="G51" s="9" t="s">
        <v>28</v>
      </c>
      <c r="H51" s="5" t="s">
        <v>5</v>
      </c>
      <c r="I51" s="9"/>
      <c r="J51" s="265">
        <v>19200000</v>
      </c>
      <c r="K51" s="36"/>
      <c r="L51" s="37"/>
      <c r="M51" s="7" t="s">
        <v>78</v>
      </c>
      <c r="N51" s="112">
        <v>0</v>
      </c>
      <c r="O51" s="196">
        <f t="shared" si="10"/>
        <v>0</v>
      </c>
      <c r="P51" s="91" t="s">
        <v>141</v>
      </c>
      <c r="Q51" s="91" t="s">
        <v>141</v>
      </c>
      <c r="R51" s="88"/>
      <c r="S51" s="88"/>
      <c r="T51" s="88">
        <f t="shared" si="12"/>
        <v>0</v>
      </c>
      <c r="U51" s="204">
        <v>0</v>
      </c>
      <c r="V51" s="8">
        <f t="shared" si="13"/>
        <v>19200000</v>
      </c>
      <c r="W51" s="304">
        <f t="shared" si="11"/>
        <v>100</v>
      </c>
      <c r="X51" s="7"/>
      <c r="Y51" s="38"/>
      <c r="Z51" s="46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25" customFormat="1" ht="15" customHeight="1">
      <c r="A52" s="9"/>
      <c r="B52" s="266" t="s">
        <v>189</v>
      </c>
      <c r="C52" s="9" t="s">
        <v>211</v>
      </c>
      <c r="D52" s="5" t="s">
        <v>37</v>
      </c>
      <c r="E52" s="5" t="s">
        <v>140</v>
      </c>
      <c r="F52" s="5" t="s">
        <v>181</v>
      </c>
      <c r="G52" s="9" t="s">
        <v>28</v>
      </c>
      <c r="H52" s="5" t="s">
        <v>5</v>
      </c>
      <c r="I52" s="9"/>
      <c r="J52" s="265">
        <v>1200000</v>
      </c>
      <c r="K52" s="36"/>
      <c r="L52" s="37"/>
      <c r="M52" s="7" t="s">
        <v>78</v>
      </c>
      <c r="N52" s="112">
        <v>100000</v>
      </c>
      <c r="O52" s="196">
        <f t="shared" si="10"/>
        <v>8.333333333333332</v>
      </c>
      <c r="P52" s="91" t="s">
        <v>139</v>
      </c>
      <c r="Q52" s="91" t="s">
        <v>139</v>
      </c>
      <c r="R52" s="88"/>
      <c r="S52" s="88"/>
      <c r="T52" s="88">
        <f t="shared" si="12"/>
        <v>0</v>
      </c>
      <c r="U52" s="204">
        <f t="shared" si="8"/>
        <v>0</v>
      </c>
      <c r="V52" s="8">
        <f t="shared" si="13"/>
        <v>1200000</v>
      </c>
      <c r="W52" s="304">
        <f t="shared" si="11"/>
        <v>100</v>
      </c>
      <c r="X52" s="7"/>
      <c r="Y52" s="38"/>
      <c r="Z52" s="46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s="26" customFormat="1" ht="15" customHeight="1">
      <c r="A53" s="10"/>
      <c r="B53" s="267" t="s">
        <v>91</v>
      </c>
      <c r="C53" s="10" t="s">
        <v>116</v>
      </c>
      <c r="D53" s="102" t="s">
        <v>37</v>
      </c>
      <c r="E53" s="102" t="s">
        <v>140</v>
      </c>
      <c r="F53" s="102" t="s">
        <v>181</v>
      </c>
      <c r="G53" s="10" t="s">
        <v>28</v>
      </c>
      <c r="H53" s="102" t="s">
        <v>5</v>
      </c>
      <c r="I53" s="10"/>
      <c r="J53" s="264">
        <f>SUM(J54:J55)</f>
        <v>88295280</v>
      </c>
      <c r="K53" s="103"/>
      <c r="L53" s="104"/>
      <c r="M53" s="105"/>
      <c r="N53" s="110">
        <f>SUM(N54:N55)</f>
        <v>7357940</v>
      </c>
      <c r="O53" s="195">
        <f t="shared" si="10"/>
        <v>8.333333333333332</v>
      </c>
      <c r="P53" s="170" t="s">
        <v>139</v>
      </c>
      <c r="Q53" s="170" t="s">
        <v>139</v>
      </c>
      <c r="R53" s="89"/>
      <c r="S53" s="89"/>
      <c r="T53" s="89">
        <f t="shared" si="12"/>
        <v>0</v>
      </c>
      <c r="U53" s="204">
        <f t="shared" si="8"/>
        <v>0</v>
      </c>
      <c r="V53" s="86">
        <f>SUM(V54:V55)</f>
        <v>88295280</v>
      </c>
      <c r="W53" s="303">
        <f t="shared" si="11"/>
        <v>100</v>
      </c>
      <c r="X53" s="105"/>
      <c r="Y53" s="106"/>
      <c r="Z53" s="45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25" customFormat="1" ht="15" customHeight="1">
      <c r="A54" s="9"/>
      <c r="B54" s="266" t="s">
        <v>190</v>
      </c>
      <c r="C54" s="9" t="s">
        <v>212</v>
      </c>
      <c r="D54" s="5" t="s">
        <v>37</v>
      </c>
      <c r="E54" s="5" t="s">
        <v>140</v>
      </c>
      <c r="F54" s="5" t="s">
        <v>181</v>
      </c>
      <c r="G54" s="9" t="s">
        <v>28</v>
      </c>
      <c r="H54" s="5" t="s">
        <v>5</v>
      </c>
      <c r="I54" s="9"/>
      <c r="J54" s="265">
        <v>79688460</v>
      </c>
      <c r="K54" s="36"/>
      <c r="L54" s="37"/>
      <c r="M54" s="7" t="s">
        <v>78</v>
      </c>
      <c r="N54" s="112">
        <v>6640705</v>
      </c>
      <c r="O54" s="196">
        <f t="shared" si="10"/>
        <v>8.333333333333332</v>
      </c>
      <c r="P54" s="91" t="s">
        <v>139</v>
      </c>
      <c r="Q54" s="91" t="s">
        <v>139</v>
      </c>
      <c r="R54" s="88"/>
      <c r="S54" s="88"/>
      <c r="T54" s="88">
        <f t="shared" si="12"/>
        <v>0</v>
      </c>
      <c r="U54" s="204">
        <f t="shared" si="8"/>
        <v>0</v>
      </c>
      <c r="V54" s="8">
        <f t="shared" si="13"/>
        <v>79688460</v>
      </c>
      <c r="W54" s="304">
        <f t="shared" si="11"/>
        <v>100</v>
      </c>
      <c r="X54" s="7"/>
      <c r="Y54" s="38"/>
      <c r="Z54" s="46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s="25" customFormat="1" ht="15" customHeight="1">
      <c r="A55" s="9"/>
      <c r="B55" s="266" t="s">
        <v>191</v>
      </c>
      <c r="C55" s="9" t="s">
        <v>143</v>
      </c>
      <c r="D55" s="5" t="s">
        <v>37</v>
      </c>
      <c r="E55" s="5" t="s">
        <v>140</v>
      </c>
      <c r="F55" s="5" t="s">
        <v>181</v>
      </c>
      <c r="G55" s="9" t="s">
        <v>28</v>
      </c>
      <c r="H55" s="5" t="s">
        <v>5</v>
      </c>
      <c r="I55" s="9"/>
      <c r="J55" s="265">
        <v>8606820</v>
      </c>
      <c r="K55" s="36"/>
      <c r="L55" s="37"/>
      <c r="M55" s="7" t="s">
        <v>78</v>
      </c>
      <c r="N55" s="112">
        <v>717235</v>
      </c>
      <c r="O55" s="196">
        <f t="shared" si="10"/>
        <v>8.333333333333332</v>
      </c>
      <c r="P55" s="91" t="s">
        <v>139</v>
      </c>
      <c r="Q55" s="91" t="s">
        <v>139</v>
      </c>
      <c r="R55" s="88"/>
      <c r="S55" s="88"/>
      <c r="T55" s="88">
        <f t="shared" si="12"/>
        <v>0</v>
      </c>
      <c r="U55" s="204">
        <f t="shared" si="8"/>
        <v>0</v>
      </c>
      <c r="V55" s="8">
        <f t="shared" si="13"/>
        <v>8606820</v>
      </c>
      <c r="W55" s="304">
        <f t="shared" si="11"/>
        <v>100</v>
      </c>
      <c r="X55" s="7"/>
      <c r="Y55" s="38"/>
      <c r="Z55" s="46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26" customFormat="1" ht="15" customHeight="1">
      <c r="A56" s="10"/>
      <c r="B56" s="267" t="s">
        <v>92</v>
      </c>
      <c r="C56" s="10" t="s">
        <v>117</v>
      </c>
      <c r="D56" s="102" t="s">
        <v>37</v>
      </c>
      <c r="E56" s="102" t="s">
        <v>140</v>
      </c>
      <c r="F56" s="102" t="s">
        <v>181</v>
      </c>
      <c r="G56" s="10" t="s">
        <v>28</v>
      </c>
      <c r="H56" s="102" t="s">
        <v>5</v>
      </c>
      <c r="I56" s="10"/>
      <c r="J56" s="264">
        <f>SUM(J57:J58)</f>
        <v>149121500</v>
      </c>
      <c r="K56" s="103"/>
      <c r="L56" s="104"/>
      <c r="M56" s="105"/>
      <c r="N56" s="175">
        <f>N57+N58</f>
        <v>13770000</v>
      </c>
      <c r="O56" s="195">
        <f t="shared" si="10"/>
        <v>9.23408093400348</v>
      </c>
      <c r="P56" s="170" t="s">
        <v>139</v>
      </c>
      <c r="Q56" s="170" t="s">
        <v>139</v>
      </c>
      <c r="R56" s="89"/>
      <c r="S56" s="89"/>
      <c r="T56" s="89">
        <f t="shared" si="12"/>
        <v>0</v>
      </c>
      <c r="U56" s="204">
        <v>0</v>
      </c>
      <c r="V56" s="86">
        <f>SUM(V57:V58)</f>
        <v>149121500</v>
      </c>
      <c r="W56" s="303">
        <f t="shared" si="11"/>
        <v>100</v>
      </c>
      <c r="X56" s="105"/>
      <c r="Y56" s="106"/>
      <c r="Z56" s="45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25" customFormat="1" ht="15" customHeight="1">
      <c r="A57" s="9"/>
      <c r="B57" s="266" t="s">
        <v>192</v>
      </c>
      <c r="C57" s="9" t="s">
        <v>136</v>
      </c>
      <c r="D57" s="5" t="s">
        <v>37</v>
      </c>
      <c r="E57" s="5" t="s">
        <v>140</v>
      </c>
      <c r="F57" s="5" t="s">
        <v>181</v>
      </c>
      <c r="G57" s="9" t="s">
        <v>28</v>
      </c>
      <c r="H57" s="5" t="s">
        <v>5</v>
      </c>
      <c r="I57" s="9"/>
      <c r="J57" s="265">
        <v>147651500</v>
      </c>
      <c r="K57" s="36"/>
      <c r="L57" s="37"/>
      <c r="M57" s="7" t="s">
        <v>78</v>
      </c>
      <c r="N57" s="25">
        <v>12300000</v>
      </c>
      <c r="O57" s="196">
        <f t="shared" si="10"/>
        <v>8.330426714256205</v>
      </c>
      <c r="P57" s="91" t="s">
        <v>139</v>
      </c>
      <c r="Q57" s="91" t="s">
        <v>139</v>
      </c>
      <c r="R57" s="88"/>
      <c r="S57" s="88"/>
      <c r="T57" s="88">
        <f t="shared" si="12"/>
        <v>0</v>
      </c>
      <c r="U57" s="204">
        <f>T57/N57*100</f>
        <v>0</v>
      </c>
      <c r="V57" s="8">
        <f t="shared" si="13"/>
        <v>147651500</v>
      </c>
      <c r="W57" s="304">
        <f t="shared" si="11"/>
        <v>100</v>
      </c>
      <c r="X57" s="7"/>
      <c r="Y57" s="38"/>
      <c r="Z57" s="46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5" customFormat="1" ht="27">
      <c r="A58" s="9"/>
      <c r="B58" s="266" t="s">
        <v>193</v>
      </c>
      <c r="C58" s="9" t="s">
        <v>118</v>
      </c>
      <c r="D58" s="5" t="s">
        <v>37</v>
      </c>
      <c r="E58" s="5" t="s">
        <v>140</v>
      </c>
      <c r="F58" s="5" t="s">
        <v>181</v>
      </c>
      <c r="G58" s="9" t="s">
        <v>28</v>
      </c>
      <c r="H58" s="5" t="s">
        <v>5</v>
      </c>
      <c r="I58" s="9"/>
      <c r="J58" s="265">
        <v>1470000</v>
      </c>
      <c r="K58" s="36"/>
      <c r="L58" s="37"/>
      <c r="M58" s="7" t="s">
        <v>78</v>
      </c>
      <c r="N58" s="112">
        <v>1470000</v>
      </c>
      <c r="O58" s="196">
        <f t="shared" si="10"/>
        <v>100</v>
      </c>
      <c r="P58" s="91" t="s">
        <v>139</v>
      </c>
      <c r="Q58" s="91" t="s">
        <v>139</v>
      </c>
      <c r="R58" s="88"/>
      <c r="S58" s="88"/>
      <c r="T58" s="88">
        <f t="shared" si="12"/>
        <v>0</v>
      </c>
      <c r="U58" s="204">
        <f t="shared" si="8"/>
        <v>0</v>
      </c>
      <c r="V58" s="8">
        <f t="shared" si="13"/>
        <v>1470000</v>
      </c>
      <c r="W58" s="304">
        <f t="shared" si="11"/>
        <v>100</v>
      </c>
      <c r="X58" s="7"/>
      <c r="Y58" s="38"/>
      <c r="Z58" s="46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26" customFormat="1" ht="15" customHeight="1">
      <c r="A59" s="10"/>
      <c r="B59" s="267" t="s">
        <v>194</v>
      </c>
      <c r="C59" s="10" t="s">
        <v>213</v>
      </c>
      <c r="D59" s="102" t="s">
        <v>37</v>
      </c>
      <c r="E59" s="102" t="s">
        <v>306</v>
      </c>
      <c r="F59" s="102" t="s">
        <v>181</v>
      </c>
      <c r="G59" s="10" t="s">
        <v>28</v>
      </c>
      <c r="H59" s="102" t="s">
        <v>5</v>
      </c>
      <c r="I59" s="10"/>
      <c r="J59" s="264">
        <f>SUM(J60:J63)</f>
        <v>44468000</v>
      </c>
      <c r="K59" s="103"/>
      <c r="L59" s="104"/>
      <c r="M59" s="105"/>
      <c r="N59" s="110">
        <f>SUM(N60:N63)</f>
        <v>44468000</v>
      </c>
      <c r="O59" s="195">
        <f t="shared" si="10"/>
        <v>100</v>
      </c>
      <c r="P59" s="170" t="s">
        <v>139</v>
      </c>
      <c r="Q59" s="170" t="s">
        <v>139</v>
      </c>
      <c r="R59" s="89"/>
      <c r="S59" s="89"/>
      <c r="T59" s="89">
        <f t="shared" si="12"/>
        <v>0</v>
      </c>
      <c r="U59" s="204">
        <f t="shared" si="8"/>
        <v>0</v>
      </c>
      <c r="V59" s="86">
        <f>SUM(V60:V63)</f>
        <v>44468000</v>
      </c>
      <c r="W59" s="303">
        <f t="shared" si="11"/>
        <v>100</v>
      </c>
      <c r="X59" s="105"/>
      <c r="Y59" s="106"/>
      <c r="Z59" s="45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25" customFormat="1" ht="15" customHeight="1">
      <c r="A60" s="9"/>
      <c r="B60" s="266" t="s">
        <v>195</v>
      </c>
      <c r="C60" s="9" t="s">
        <v>214</v>
      </c>
      <c r="D60" s="5" t="s">
        <v>37</v>
      </c>
      <c r="E60" s="5" t="s">
        <v>306</v>
      </c>
      <c r="F60" s="5" t="s">
        <v>181</v>
      </c>
      <c r="G60" s="9" t="s">
        <v>28</v>
      </c>
      <c r="H60" s="5" t="s">
        <v>5</v>
      </c>
      <c r="I60" s="9"/>
      <c r="J60" s="265">
        <v>14000000</v>
      </c>
      <c r="K60" s="36"/>
      <c r="L60" s="37"/>
      <c r="M60" s="7" t="s">
        <v>221</v>
      </c>
      <c r="N60" s="112">
        <v>14000000</v>
      </c>
      <c r="O60" s="196">
        <f t="shared" si="10"/>
        <v>100</v>
      </c>
      <c r="P60" s="91" t="s">
        <v>139</v>
      </c>
      <c r="Q60" s="91" t="s">
        <v>139</v>
      </c>
      <c r="R60" s="88"/>
      <c r="S60" s="88"/>
      <c r="T60" s="88">
        <f t="shared" si="12"/>
        <v>0</v>
      </c>
      <c r="U60" s="204">
        <f t="shared" si="8"/>
        <v>0</v>
      </c>
      <c r="V60" s="8">
        <f t="shared" si="13"/>
        <v>14000000</v>
      </c>
      <c r="W60" s="304">
        <f t="shared" si="11"/>
        <v>100</v>
      </c>
      <c r="X60" s="7"/>
      <c r="Y60" s="38"/>
      <c r="Z60" s="46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s="25" customFormat="1" ht="15" customHeight="1">
      <c r="A61" s="9"/>
      <c r="B61" s="266" t="s">
        <v>196</v>
      </c>
      <c r="C61" s="9" t="s">
        <v>215</v>
      </c>
      <c r="D61" s="5" t="s">
        <v>37</v>
      </c>
      <c r="E61" s="5" t="s">
        <v>306</v>
      </c>
      <c r="F61" s="5" t="s">
        <v>181</v>
      </c>
      <c r="G61" s="9" t="s">
        <v>28</v>
      </c>
      <c r="H61" s="5" t="s">
        <v>5</v>
      </c>
      <c r="I61" s="9"/>
      <c r="J61" s="265">
        <v>12000000</v>
      </c>
      <c r="K61" s="36"/>
      <c r="L61" s="37"/>
      <c r="M61" s="7" t="s">
        <v>221</v>
      </c>
      <c r="N61" s="112">
        <v>12000000</v>
      </c>
      <c r="O61" s="196">
        <f t="shared" si="10"/>
        <v>100</v>
      </c>
      <c r="P61" s="91" t="s">
        <v>139</v>
      </c>
      <c r="Q61" s="91" t="s">
        <v>139</v>
      </c>
      <c r="R61" s="88"/>
      <c r="S61" s="88"/>
      <c r="T61" s="88">
        <f t="shared" si="12"/>
        <v>0</v>
      </c>
      <c r="U61" s="204">
        <f t="shared" si="8"/>
        <v>0</v>
      </c>
      <c r="V61" s="8">
        <f t="shared" si="13"/>
        <v>12000000</v>
      </c>
      <c r="W61" s="304">
        <f t="shared" si="11"/>
        <v>100</v>
      </c>
      <c r="X61" s="7"/>
      <c r="Y61" s="38"/>
      <c r="Z61" s="46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s="25" customFormat="1" ht="15" customHeight="1">
      <c r="A62" s="9"/>
      <c r="B62" s="266" t="s">
        <v>197</v>
      </c>
      <c r="C62" s="9" t="s">
        <v>216</v>
      </c>
      <c r="D62" s="5" t="s">
        <v>37</v>
      </c>
      <c r="E62" s="5" t="s">
        <v>306</v>
      </c>
      <c r="F62" s="5" t="s">
        <v>181</v>
      </c>
      <c r="G62" s="9" t="s">
        <v>28</v>
      </c>
      <c r="H62" s="5" t="s">
        <v>5</v>
      </c>
      <c r="I62" s="9"/>
      <c r="J62" s="265">
        <v>6468000</v>
      </c>
      <c r="K62" s="36"/>
      <c r="L62" s="37"/>
      <c r="M62" s="7" t="s">
        <v>221</v>
      </c>
      <c r="N62" s="112">
        <v>6468000</v>
      </c>
      <c r="O62" s="196">
        <f t="shared" si="10"/>
        <v>100</v>
      </c>
      <c r="P62" s="91" t="s">
        <v>139</v>
      </c>
      <c r="Q62" s="91" t="s">
        <v>139</v>
      </c>
      <c r="R62" s="88"/>
      <c r="S62" s="88"/>
      <c r="T62" s="88">
        <f t="shared" si="12"/>
        <v>0</v>
      </c>
      <c r="U62" s="204">
        <f t="shared" si="8"/>
        <v>0</v>
      </c>
      <c r="V62" s="8">
        <f t="shared" si="13"/>
        <v>6468000</v>
      </c>
      <c r="W62" s="304">
        <f t="shared" si="11"/>
        <v>100</v>
      </c>
      <c r="X62" s="7"/>
      <c r="Y62" s="38"/>
      <c r="Z62" s="46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s="25" customFormat="1" ht="15" customHeight="1">
      <c r="A63" s="9"/>
      <c r="B63" s="266" t="s">
        <v>198</v>
      </c>
      <c r="C63" s="9" t="s">
        <v>217</v>
      </c>
      <c r="D63" s="5" t="s">
        <v>37</v>
      </c>
      <c r="E63" s="5" t="s">
        <v>306</v>
      </c>
      <c r="F63" s="5" t="s">
        <v>181</v>
      </c>
      <c r="G63" s="9" t="s">
        <v>28</v>
      </c>
      <c r="H63" s="5" t="s">
        <v>5</v>
      </c>
      <c r="I63" s="9"/>
      <c r="J63" s="265">
        <v>12000000</v>
      </c>
      <c r="K63" s="36"/>
      <c r="L63" s="37"/>
      <c r="M63" s="7" t="s">
        <v>221</v>
      </c>
      <c r="N63" s="112">
        <v>12000000</v>
      </c>
      <c r="O63" s="196">
        <f t="shared" si="10"/>
        <v>100</v>
      </c>
      <c r="P63" s="91" t="s">
        <v>139</v>
      </c>
      <c r="Q63" s="91" t="s">
        <v>139</v>
      </c>
      <c r="R63" s="88"/>
      <c r="S63" s="88"/>
      <c r="T63" s="88">
        <f t="shared" si="12"/>
        <v>0</v>
      </c>
      <c r="U63" s="204">
        <f t="shared" si="8"/>
        <v>0</v>
      </c>
      <c r="V63" s="8">
        <f t="shared" si="13"/>
        <v>12000000</v>
      </c>
      <c r="W63" s="304">
        <f t="shared" si="11"/>
        <v>100</v>
      </c>
      <c r="X63" s="7"/>
      <c r="Y63" s="38"/>
      <c r="Z63" s="46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s="26" customFormat="1" ht="15" customHeight="1">
      <c r="A64" s="10"/>
      <c r="B64" s="267" t="s">
        <v>199</v>
      </c>
      <c r="C64" s="10" t="s">
        <v>218</v>
      </c>
      <c r="D64" s="102" t="s">
        <v>37</v>
      </c>
      <c r="E64" s="102" t="s">
        <v>306</v>
      </c>
      <c r="F64" s="102" t="s">
        <v>181</v>
      </c>
      <c r="G64" s="10" t="s">
        <v>28</v>
      </c>
      <c r="H64" s="102" t="s">
        <v>5</v>
      </c>
      <c r="I64" s="10"/>
      <c r="J64" s="264">
        <f>SUM(J65:J66)</f>
        <v>64500000</v>
      </c>
      <c r="K64" s="103"/>
      <c r="L64" s="104"/>
      <c r="M64" s="105"/>
      <c r="N64" s="110">
        <f>SUM(N65:N66)</f>
        <v>64500000</v>
      </c>
      <c r="O64" s="195">
        <f t="shared" si="10"/>
        <v>100</v>
      </c>
      <c r="P64" s="170" t="s">
        <v>139</v>
      </c>
      <c r="Q64" s="170" t="s">
        <v>139</v>
      </c>
      <c r="R64" s="89"/>
      <c r="S64" s="89"/>
      <c r="T64" s="89">
        <f t="shared" si="12"/>
        <v>0</v>
      </c>
      <c r="U64" s="204">
        <f t="shared" si="8"/>
        <v>0</v>
      </c>
      <c r="V64" s="86">
        <f>SUM(V65:V66)</f>
        <v>64500000</v>
      </c>
      <c r="W64" s="303">
        <f t="shared" si="11"/>
        <v>100</v>
      </c>
      <c r="X64" s="105"/>
      <c r="Y64" s="106"/>
      <c r="Z64" s="45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25" customFormat="1" ht="15" customHeight="1">
      <c r="A65" s="9"/>
      <c r="B65" s="266" t="s">
        <v>200</v>
      </c>
      <c r="C65" s="9" t="s">
        <v>219</v>
      </c>
      <c r="D65" s="5" t="s">
        <v>37</v>
      </c>
      <c r="E65" s="5" t="s">
        <v>306</v>
      </c>
      <c r="F65" s="5" t="s">
        <v>181</v>
      </c>
      <c r="G65" s="9" t="s">
        <v>28</v>
      </c>
      <c r="H65" s="5" t="s">
        <v>5</v>
      </c>
      <c r="I65" s="9"/>
      <c r="J65" s="265">
        <v>60000000</v>
      </c>
      <c r="K65" s="36"/>
      <c r="L65" s="37"/>
      <c r="M65" s="7" t="s">
        <v>221</v>
      </c>
      <c r="N65" s="112">
        <v>60000000</v>
      </c>
      <c r="O65" s="196">
        <f t="shared" si="10"/>
        <v>100</v>
      </c>
      <c r="P65" s="91" t="s">
        <v>139</v>
      </c>
      <c r="Q65" s="91" t="s">
        <v>139</v>
      </c>
      <c r="R65" s="88"/>
      <c r="S65" s="88"/>
      <c r="T65" s="88">
        <f t="shared" si="12"/>
        <v>0</v>
      </c>
      <c r="U65" s="204">
        <f t="shared" si="8"/>
        <v>0</v>
      </c>
      <c r="V65" s="8">
        <f t="shared" si="13"/>
        <v>60000000</v>
      </c>
      <c r="W65" s="304">
        <f t="shared" si="11"/>
        <v>100</v>
      </c>
      <c r="X65" s="7"/>
      <c r="Y65" s="38"/>
      <c r="Z65" s="46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s="25" customFormat="1" ht="15" customHeight="1">
      <c r="A66" s="9"/>
      <c r="B66" s="266" t="s">
        <v>201</v>
      </c>
      <c r="C66" s="9" t="s">
        <v>220</v>
      </c>
      <c r="D66" s="5" t="s">
        <v>37</v>
      </c>
      <c r="E66" s="5" t="s">
        <v>308</v>
      </c>
      <c r="F66" s="5" t="s">
        <v>181</v>
      </c>
      <c r="G66" s="9" t="s">
        <v>28</v>
      </c>
      <c r="H66" s="5" t="s">
        <v>5</v>
      </c>
      <c r="I66" s="9"/>
      <c r="J66" s="265">
        <v>4500000</v>
      </c>
      <c r="K66" s="36"/>
      <c r="L66" s="37"/>
      <c r="M66" s="7" t="s">
        <v>78</v>
      </c>
      <c r="N66" s="112">
        <v>4500000</v>
      </c>
      <c r="O66" s="196">
        <f t="shared" si="10"/>
        <v>100</v>
      </c>
      <c r="P66" s="91" t="s">
        <v>139</v>
      </c>
      <c r="Q66" s="91" t="s">
        <v>139</v>
      </c>
      <c r="R66" s="88"/>
      <c r="S66" s="88"/>
      <c r="T66" s="88">
        <f t="shared" si="12"/>
        <v>0</v>
      </c>
      <c r="U66" s="204">
        <f t="shared" si="8"/>
        <v>0</v>
      </c>
      <c r="V66" s="8">
        <f t="shared" si="13"/>
        <v>4500000</v>
      </c>
      <c r="W66" s="304">
        <f t="shared" si="11"/>
        <v>100</v>
      </c>
      <c r="X66" s="7"/>
      <c r="Y66" s="38"/>
      <c r="Z66" s="46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s="26" customFormat="1" ht="15" customHeight="1">
      <c r="A67" s="10"/>
      <c r="B67" s="267" t="s">
        <v>93</v>
      </c>
      <c r="C67" s="10" t="s">
        <v>119</v>
      </c>
      <c r="D67" s="102" t="s">
        <v>37</v>
      </c>
      <c r="E67" s="102" t="s">
        <v>140</v>
      </c>
      <c r="F67" s="102" t="s">
        <v>181</v>
      </c>
      <c r="G67" s="10" t="s">
        <v>28</v>
      </c>
      <c r="H67" s="102" t="s">
        <v>5</v>
      </c>
      <c r="I67" s="10"/>
      <c r="J67" s="264">
        <f>SUM(J68:J69)</f>
        <v>1880959000</v>
      </c>
      <c r="K67" s="103"/>
      <c r="L67" s="104"/>
      <c r="M67" s="105"/>
      <c r="N67" s="110">
        <f>SUM(N68:N69)</f>
        <v>168362500</v>
      </c>
      <c r="O67" s="195">
        <f t="shared" si="10"/>
        <v>8.95088622346367</v>
      </c>
      <c r="P67" s="170" t="s">
        <v>139</v>
      </c>
      <c r="Q67" s="170" t="s">
        <v>139</v>
      </c>
      <c r="R67" s="89"/>
      <c r="S67" s="89"/>
      <c r="T67" s="89">
        <f t="shared" si="12"/>
        <v>0</v>
      </c>
      <c r="U67" s="204">
        <f t="shared" si="8"/>
        <v>0</v>
      </c>
      <c r="V67" s="86">
        <f>SUM(V68:V69)</f>
        <v>1880959000</v>
      </c>
      <c r="W67" s="303">
        <f t="shared" si="11"/>
        <v>100</v>
      </c>
      <c r="X67" s="105"/>
      <c r="Y67" s="106"/>
      <c r="Z67" s="45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25" customFormat="1" ht="15" customHeight="1">
      <c r="A68" s="9"/>
      <c r="B68" s="266" t="s">
        <v>202</v>
      </c>
      <c r="C68" s="9" t="s">
        <v>120</v>
      </c>
      <c r="D68" s="5" t="s">
        <v>37</v>
      </c>
      <c r="E68" s="5" t="s">
        <v>140</v>
      </c>
      <c r="F68" s="5" t="s">
        <v>181</v>
      </c>
      <c r="G68" s="9" t="s">
        <v>28</v>
      </c>
      <c r="H68" s="5" t="s">
        <v>5</v>
      </c>
      <c r="I68" s="9"/>
      <c r="J68" s="265">
        <v>220350000</v>
      </c>
      <c r="K68" s="36"/>
      <c r="L68" s="37"/>
      <c r="M68" s="7" t="s">
        <v>78</v>
      </c>
      <c r="N68" s="112">
        <v>18362500</v>
      </c>
      <c r="O68" s="196">
        <f t="shared" si="10"/>
        <v>8.333333333333332</v>
      </c>
      <c r="P68" s="91" t="s">
        <v>139</v>
      </c>
      <c r="Q68" s="91" t="s">
        <v>139</v>
      </c>
      <c r="R68" s="88"/>
      <c r="S68" s="88"/>
      <c r="T68" s="88">
        <f t="shared" si="12"/>
        <v>0</v>
      </c>
      <c r="U68" s="204">
        <f t="shared" si="8"/>
        <v>0</v>
      </c>
      <c r="V68" s="8">
        <f t="shared" si="13"/>
        <v>220350000</v>
      </c>
      <c r="W68" s="304">
        <f t="shared" si="11"/>
        <v>100</v>
      </c>
      <c r="X68" s="7"/>
      <c r="Y68" s="38"/>
      <c r="Z68" s="46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s="25" customFormat="1" ht="15" customHeight="1">
      <c r="A69" s="9"/>
      <c r="B69" s="266" t="s">
        <v>203</v>
      </c>
      <c r="C69" s="9" t="s">
        <v>121</v>
      </c>
      <c r="D69" s="5" t="s">
        <v>37</v>
      </c>
      <c r="E69" s="5" t="s">
        <v>140</v>
      </c>
      <c r="F69" s="5" t="s">
        <v>181</v>
      </c>
      <c r="G69" s="9" t="s">
        <v>28</v>
      </c>
      <c r="H69" s="5" t="s">
        <v>5</v>
      </c>
      <c r="I69" s="9"/>
      <c r="J69" s="265">
        <v>1660609000</v>
      </c>
      <c r="K69" s="36"/>
      <c r="L69" s="37"/>
      <c r="M69" s="7" t="s">
        <v>78</v>
      </c>
      <c r="N69" s="112">
        <v>150000000</v>
      </c>
      <c r="O69" s="196">
        <f t="shared" si="10"/>
        <v>9.032830726558752</v>
      </c>
      <c r="P69" s="91" t="s">
        <v>139</v>
      </c>
      <c r="Q69" s="91" t="s">
        <v>139</v>
      </c>
      <c r="R69" s="88"/>
      <c r="S69" s="88"/>
      <c r="T69" s="88">
        <f t="shared" si="12"/>
        <v>0</v>
      </c>
      <c r="U69" s="204">
        <f t="shared" si="8"/>
        <v>0</v>
      </c>
      <c r="V69" s="8">
        <f t="shared" si="13"/>
        <v>1660609000</v>
      </c>
      <c r="W69" s="304">
        <f t="shared" si="11"/>
        <v>100</v>
      </c>
      <c r="X69" s="7"/>
      <c r="Y69" s="38"/>
      <c r="Z69" s="46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s="26" customFormat="1" ht="15" customHeight="1">
      <c r="A70" s="10"/>
      <c r="B70" s="267" t="s">
        <v>204</v>
      </c>
      <c r="C70" s="10" t="s">
        <v>122</v>
      </c>
      <c r="D70" s="102" t="s">
        <v>37</v>
      </c>
      <c r="E70" s="102" t="s">
        <v>140</v>
      </c>
      <c r="F70" s="102" t="s">
        <v>181</v>
      </c>
      <c r="G70" s="10" t="s">
        <v>28</v>
      </c>
      <c r="H70" s="102" t="s">
        <v>5</v>
      </c>
      <c r="I70" s="10"/>
      <c r="J70" s="264">
        <f>SUM(J71:J72)</f>
        <v>1045728000</v>
      </c>
      <c r="K70" s="103"/>
      <c r="L70" s="104"/>
      <c r="M70" s="105"/>
      <c r="N70" s="110">
        <f>SUM(N71:N72)</f>
        <v>87144000</v>
      </c>
      <c r="O70" s="195">
        <f t="shared" si="10"/>
        <v>8.333333333333332</v>
      </c>
      <c r="P70" s="170" t="s">
        <v>139</v>
      </c>
      <c r="Q70" s="170" t="s">
        <v>139</v>
      </c>
      <c r="R70" s="89">
        <f>R71+R72</f>
        <v>67100000</v>
      </c>
      <c r="S70" s="89">
        <f>S71+S72</f>
        <v>0</v>
      </c>
      <c r="T70" s="89">
        <f t="shared" si="12"/>
        <v>67100000</v>
      </c>
      <c r="U70" s="204">
        <f t="shared" si="8"/>
        <v>76.998990177178</v>
      </c>
      <c r="V70" s="86">
        <f>SUM(V71:V72)</f>
        <v>978628000</v>
      </c>
      <c r="W70" s="303">
        <f t="shared" si="11"/>
        <v>93.58341748523516</v>
      </c>
      <c r="X70" s="105"/>
      <c r="Y70" s="106"/>
      <c r="Z70" s="45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25" customFormat="1" ht="15" customHeight="1">
      <c r="A71" s="9"/>
      <c r="B71" s="266" t="s">
        <v>205</v>
      </c>
      <c r="C71" s="9" t="s">
        <v>123</v>
      </c>
      <c r="D71" s="5" t="s">
        <v>37</v>
      </c>
      <c r="E71" s="5" t="s">
        <v>140</v>
      </c>
      <c r="F71" s="5" t="s">
        <v>181</v>
      </c>
      <c r="G71" s="9" t="s">
        <v>28</v>
      </c>
      <c r="H71" s="5" t="s">
        <v>5</v>
      </c>
      <c r="I71" s="9"/>
      <c r="J71" s="265">
        <v>945600000</v>
      </c>
      <c r="K71" s="36"/>
      <c r="L71" s="37"/>
      <c r="M71" s="7" t="s">
        <v>78</v>
      </c>
      <c r="N71" s="112">
        <v>78800000</v>
      </c>
      <c r="O71" s="196">
        <f t="shared" si="10"/>
        <v>8.333333333333332</v>
      </c>
      <c r="P71" s="91" t="s">
        <v>139</v>
      </c>
      <c r="Q71" s="91" t="s">
        <v>139</v>
      </c>
      <c r="R71" s="88">
        <v>67100000</v>
      </c>
      <c r="S71" s="88"/>
      <c r="T71" s="88">
        <f t="shared" si="12"/>
        <v>67100000</v>
      </c>
      <c r="U71" s="204">
        <f t="shared" si="8"/>
        <v>85.15228426395939</v>
      </c>
      <c r="V71" s="8">
        <f t="shared" si="13"/>
        <v>878500000</v>
      </c>
      <c r="W71" s="304">
        <f t="shared" si="11"/>
        <v>92.90397631133672</v>
      </c>
      <c r="X71" s="7"/>
      <c r="Y71" s="38"/>
      <c r="Z71" s="46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s="25" customFormat="1" ht="15" customHeight="1">
      <c r="A72" s="208"/>
      <c r="B72" s="266" t="s">
        <v>95</v>
      </c>
      <c r="C72" s="268" t="s">
        <v>124</v>
      </c>
      <c r="D72" s="5" t="s">
        <v>37</v>
      </c>
      <c r="E72" s="5" t="s">
        <v>140</v>
      </c>
      <c r="F72" s="5" t="s">
        <v>181</v>
      </c>
      <c r="G72" s="9" t="s">
        <v>28</v>
      </c>
      <c r="H72" s="5" t="s">
        <v>5</v>
      </c>
      <c r="I72" s="269"/>
      <c r="J72" s="265">
        <v>100128000</v>
      </c>
      <c r="K72" s="269"/>
      <c r="L72" s="269"/>
      <c r="M72" s="7" t="s">
        <v>78</v>
      </c>
      <c r="N72" s="209">
        <v>8344000</v>
      </c>
      <c r="O72" s="196">
        <f t="shared" si="10"/>
        <v>8.333333333333332</v>
      </c>
      <c r="P72" s="91" t="s">
        <v>139</v>
      </c>
      <c r="Q72" s="91" t="s">
        <v>139</v>
      </c>
      <c r="R72" s="88"/>
      <c r="S72" s="88"/>
      <c r="T72" s="88">
        <f t="shared" si="12"/>
        <v>0</v>
      </c>
      <c r="U72" s="204">
        <f t="shared" si="8"/>
        <v>0</v>
      </c>
      <c r="V72" s="8">
        <f t="shared" si="13"/>
        <v>100128000</v>
      </c>
      <c r="W72" s="304">
        <f t="shared" si="11"/>
        <v>100</v>
      </c>
      <c r="X72" s="7"/>
      <c r="Y72" s="38"/>
      <c r="Z72" s="46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s="26" customFormat="1" ht="13.5">
      <c r="A73" s="348" t="s">
        <v>19</v>
      </c>
      <c r="B73" s="352" t="s">
        <v>17</v>
      </c>
      <c r="C73" s="350"/>
      <c r="D73" s="350"/>
      <c r="E73" s="350"/>
      <c r="F73" s="350"/>
      <c r="G73" s="350"/>
      <c r="H73" s="350"/>
      <c r="I73" s="350"/>
      <c r="J73" s="351">
        <f>J75</f>
        <v>2016052000</v>
      </c>
      <c r="K73" s="351"/>
      <c r="L73" s="351"/>
      <c r="M73" s="351"/>
      <c r="N73" s="353">
        <f>N75</f>
        <v>167446000</v>
      </c>
      <c r="O73" s="355">
        <f>N73/J73*100</f>
        <v>8.30563894185269</v>
      </c>
      <c r="P73" s="351"/>
      <c r="Q73" s="351"/>
      <c r="R73" s="353">
        <f>R75</f>
        <v>18000000</v>
      </c>
      <c r="S73" s="353">
        <f>S75</f>
        <v>0</v>
      </c>
      <c r="T73" s="353">
        <f>T75</f>
        <v>18000000</v>
      </c>
      <c r="U73" s="357">
        <f>T73/N73*100</f>
        <v>10.749734242681223</v>
      </c>
      <c r="V73" s="351">
        <f>V75</f>
        <v>1998052000</v>
      </c>
      <c r="W73" s="357">
        <f>T73/J73*100</f>
        <v>0.8928341134058051</v>
      </c>
      <c r="X73" s="351"/>
      <c r="Y73" s="106"/>
      <c r="Z73" s="45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26" customFormat="1" ht="12" customHeight="1">
      <c r="A74" s="348"/>
      <c r="B74" s="35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54"/>
      <c r="O74" s="356"/>
      <c r="P74" s="348"/>
      <c r="Q74" s="348"/>
      <c r="R74" s="354"/>
      <c r="S74" s="354"/>
      <c r="T74" s="354"/>
      <c r="U74" s="358"/>
      <c r="V74" s="348"/>
      <c r="W74" s="358"/>
      <c r="X74" s="348"/>
      <c r="Y74" s="52"/>
      <c r="Z74" s="45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140" customFormat="1" ht="27.75" customHeight="1">
      <c r="A75" s="142"/>
      <c r="B75" s="143" t="s">
        <v>96</v>
      </c>
      <c r="C75" s="144" t="s">
        <v>125</v>
      </c>
      <c r="D75" s="132" t="s">
        <v>37</v>
      </c>
      <c r="E75" s="132" t="s">
        <v>140</v>
      </c>
      <c r="F75" s="132" t="s">
        <v>75</v>
      </c>
      <c r="G75" s="130" t="s">
        <v>28</v>
      </c>
      <c r="H75" s="132" t="s">
        <v>5</v>
      </c>
      <c r="I75" s="142"/>
      <c r="J75" s="145">
        <f>J76+J83</f>
        <v>2016052000</v>
      </c>
      <c r="K75" s="142"/>
      <c r="L75" s="142"/>
      <c r="M75" s="142"/>
      <c r="N75" s="146">
        <f>N76+N83</f>
        <v>167446000</v>
      </c>
      <c r="O75" s="197">
        <f aca="true" t="shared" si="14" ref="O75:O82">N75/J75*100</f>
        <v>8.30563894185269</v>
      </c>
      <c r="P75" s="142"/>
      <c r="Q75" s="142"/>
      <c r="R75" s="146">
        <f>R76+R83</f>
        <v>18000000</v>
      </c>
      <c r="S75" s="146">
        <f>S76+S83</f>
        <v>0</v>
      </c>
      <c r="T75" s="146">
        <f>T76+T83</f>
        <v>18000000</v>
      </c>
      <c r="U75" s="190">
        <f aca="true" t="shared" si="15" ref="U75:U84">T75/N75*100</f>
        <v>10.749734242681223</v>
      </c>
      <c r="V75" s="174">
        <f>V76+V83</f>
        <v>1998052000</v>
      </c>
      <c r="W75" s="190">
        <f>T75/J75*100</f>
        <v>0.8928341134058051</v>
      </c>
      <c r="X75" s="142"/>
      <c r="Y75" s="41"/>
      <c r="Z75" s="45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126" customFormat="1" ht="15" customHeight="1">
      <c r="A76" s="147"/>
      <c r="B76" s="129" t="s">
        <v>83</v>
      </c>
      <c r="C76" s="161"/>
      <c r="D76" s="120"/>
      <c r="E76" s="120"/>
      <c r="F76" s="120"/>
      <c r="G76" s="118"/>
      <c r="H76" s="120"/>
      <c r="I76" s="147"/>
      <c r="J76" s="162">
        <f>J77+J79+J81</f>
        <v>29124000</v>
      </c>
      <c r="K76" s="162"/>
      <c r="L76" s="162"/>
      <c r="M76" s="162"/>
      <c r="N76" s="162">
        <f aca="true" t="shared" si="16" ref="N76:V76">N77+N79+N81</f>
        <v>2427000</v>
      </c>
      <c r="O76" s="211">
        <f t="shared" si="14"/>
        <v>8.333333333333332</v>
      </c>
      <c r="P76" s="162"/>
      <c r="Q76" s="162"/>
      <c r="R76" s="148">
        <f t="shared" si="16"/>
        <v>0</v>
      </c>
      <c r="S76" s="148">
        <f t="shared" si="16"/>
        <v>0</v>
      </c>
      <c r="T76" s="148">
        <f t="shared" si="16"/>
        <v>0</v>
      </c>
      <c r="U76" s="212">
        <f t="shared" si="15"/>
        <v>0</v>
      </c>
      <c r="V76" s="162">
        <f t="shared" si="16"/>
        <v>29124000</v>
      </c>
      <c r="W76" s="212">
        <f>V76/J76*100</f>
        <v>100</v>
      </c>
      <c r="X76" s="162"/>
      <c r="Y76" s="41"/>
      <c r="Z76" s="45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26" s="43" customFormat="1" ht="15" customHeight="1">
      <c r="A77" s="29"/>
      <c r="B77" s="96" t="s">
        <v>149</v>
      </c>
      <c r="C77" s="163">
        <v>1001</v>
      </c>
      <c r="D77" s="107" t="s">
        <v>76</v>
      </c>
      <c r="E77" s="107" t="s">
        <v>140</v>
      </c>
      <c r="F77" s="107" t="s">
        <v>75</v>
      </c>
      <c r="G77" s="108" t="s">
        <v>28</v>
      </c>
      <c r="H77" s="107" t="s">
        <v>5</v>
      </c>
      <c r="I77" s="29"/>
      <c r="J77" s="243">
        <f>J78</f>
        <v>8100000</v>
      </c>
      <c r="K77" s="29"/>
      <c r="L77" s="29"/>
      <c r="M77" s="29"/>
      <c r="N77" s="90">
        <f>N78</f>
        <v>675000</v>
      </c>
      <c r="O77" s="200">
        <f t="shared" si="14"/>
        <v>8.333333333333332</v>
      </c>
      <c r="P77" s="90" t="str">
        <f aca="true" t="shared" si="17" ref="P77:V77">P78</f>
        <v>jan</v>
      </c>
      <c r="Q77" s="90" t="str">
        <f t="shared" si="17"/>
        <v>jan</v>
      </c>
      <c r="R77" s="90">
        <f t="shared" si="17"/>
        <v>0</v>
      </c>
      <c r="S77" s="90">
        <f t="shared" si="17"/>
        <v>0</v>
      </c>
      <c r="T77" s="90">
        <f t="shared" si="17"/>
        <v>0</v>
      </c>
      <c r="U77" s="164">
        <f t="shared" si="15"/>
        <v>0</v>
      </c>
      <c r="V77" s="90">
        <f t="shared" si="17"/>
        <v>8100000</v>
      </c>
      <c r="W77" s="164">
        <f aca="true" t="shared" si="18" ref="W77:W82">V77/J77*100</f>
        <v>100</v>
      </c>
      <c r="X77" s="90"/>
      <c r="Y77" s="41"/>
      <c r="Z77" s="45"/>
    </row>
    <row r="78" spans="1:26" s="44" customFormat="1" ht="12.75" customHeight="1">
      <c r="A78" s="27"/>
      <c r="B78" s="6" t="s">
        <v>148</v>
      </c>
      <c r="C78" s="35" t="s">
        <v>147</v>
      </c>
      <c r="D78" s="84" t="s">
        <v>76</v>
      </c>
      <c r="E78" s="84" t="s">
        <v>140</v>
      </c>
      <c r="F78" s="84" t="s">
        <v>75</v>
      </c>
      <c r="G78" s="87" t="s">
        <v>28</v>
      </c>
      <c r="H78" s="84" t="s">
        <v>5</v>
      </c>
      <c r="I78" s="27"/>
      <c r="J78" s="248">
        <v>8100000</v>
      </c>
      <c r="K78" s="27"/>
      <c r="L78" s="27"/>
      <c r="M78" s="27" t="s">
        <v>78</v>
      </c>
      <c r="N78" s="149">
        <v>675000</v>
      </c>
      <c r="O78" s="200">
        <f t="shared" si="14"/>
        <v>8.333333333333332</v>
      </c>
      <c r="P78" s="91" t="s">
        <v>139</v>
      </c>
      <c r="Q78" s="91" t="s">
        <v>139</v>
      </c>
      <c r="R78" s="149"/>
      <c r="S78" s="149"/>
      <c r="T78" s="149"/>
      <c r="U78" s="164">
        <f t="shared" si="15"/>
        <v>0</v>
      </c>
      <c r="V78" s="149">
        <f>J78-T78</f>
        <v>8100000</v>
      </c>
      <c r="W78" s="164">
        <f t="shared" si="18"/>
        <v>100</v>
      </c>
      <c r="X78" s="27"/>
      <c r="Y78" s="165"/>
      <c r="Z78" s="46"/>
    </row>
    <row r="79" spans="1:26" s="43" customFormat="1" ht="12.75" customHeight="1">
      <c r="A79" s="29"/>
      <c r="B79" s="242" t="s">
        <v>222</v>
      </c>
      <c r="C79" s="210" t="s">
        <v>225</v>
      </c>
      <c r="D79" s="107" t="s">
        <v>76</v>
      </c>
      <c r="E79" s="107" t="s">
        <v>140</v>
      </c>
      <c r="F79" s="107" t="s">
        <v>75</v>
      </c>
      <c r="G79" s="108" t="s">
        <v>28</v>
      </c>
      <c r="H79" s="107" t="s">
        <v>5</v>
      </c>
      <c r="I79" s="29"/>
      <c r="J79" s="243">
        <f>J80</f>
        <v>18000000</v>
      </c>
      <c r="K79" s="29"/>
      <c r="L79" s="29"/>
      <c r="M79" s="29"/>
      <c r="N79" s="90">
        <f>N80</f>
        <v>1500000</v>
      </c>
      <c r="O79" s="200">
        <f t="shared" si="14"/>
        <v>8.333333333333332</v>
      </c>
      <c r="P79" s="90" t="str">
        <f aca="true" t="shared" si="19" ref="P79:V79">P80</f>
        <v>jan</v>
      </c>
      <c r="Q79" s="90" t="str">
        <f t="shared" si="19"/>
        <v>jan</v>
      </c>
      <c r="R79" s="90">
        <f t="shared" si="19"/>
        <v>0</v>
      </c>
      <c r="S79" s="90">
        <f t="shared" si="19"/>
        <v>0</v>
      </c>
      <c r="T79" s="90">
        <f t="shared" si="19"/>
        <v>0</v>
      </c>
      <c r="U79" s="164">
        <f t="shared" si="15"/>
        <v>0</v>
      </c>
      <c r="V79" s="90">
        <f t="shared" si="19"/>
        <v>18000000</v>
      </c>
      <c r="W79" s="164">
        <f t="shared" si="18"/>
        <v>100</v>
      </c>
      <c r="X79" s="90"/>
      <c r="Y79" s="41"/>
      <c r="Z79" s="45"/>
    </row>
    <row r="80" spans="1:26" s="44" customFormat="1" ht="12.75" customHeight="1">
      <c r="A80" s="27"/>
      <c r="B80" s="247" t="s">
        <v>223</v>
      </c>
      <c r="C80" s="35" t="s">
        <v>226</v>
      </c>
      <c r="D80" s="84" t="s">
        <v>76</v>
      </c>
      <c r="E80" s="84" t="s">
        <v>140</v>
      </c>
      <c r="F80" s="84" t="s">
        <v>75</v>
      </c>
      <c r="G80" s="87" t="s">
        <v>28</v>
      </c>
      <c r="H80" s="84" t="s">
        <v>5</v>
      </c>
      <c r="I80" s="27"/>
      <c r="J80" s="248">
        <v>18000000</v>
      </c>
      <c r="K80" s="27"/>
      <c r="L80" s="27"/>
      <c r="M80" s="27" t="s">
        <v>78</v>
      </c>
      <c r="N80" s="149">
        <v>1500000</v>
      </c>
      <c r="O80" s="200">
        <f t="shared" si="14"/>
        <v>8.333333333333332</v>
      </c>
      <c r="P80" s="91" t="s">
        <v>139</v>
      </c>
      <c r="Q80" s="91" t="s">
        <v>139</v>
      </c>
      <c r="R80" s="149"/>
      <c r="S80" s="149"/>
      <c r="T80" s="149"/>
      <c r="U80" s="164">
        <f t="shared" si="15"/>
        <v>0</v>
      </c>
      <c r="V80" s="149">
        <f>J80-T80</f>
        <v>18000000</v>
      </c>
      <c r="W80" s="164">
        <f t="shared" si="18"/>
        <v>100</v>
      </c>
      <c r="X80" s="27"/>
      <c r="Y80" s="165"/>
      <c r="Z80" s="46"/>
    </row>
    <row r="81" spans="1:26" s="43" customFormat="1" ht="12.75" customHeight="1">
      <c r="A81" s="29"/>
      <c r="B81" s="242" t="s">
        <v>160</v>
      </c>
      <c r="C81" s="210" t="s">
        <v>227</v>
      </c>
      <c r="D81" s="107" t="s">
        <v>76</v>
      </c>
      <c r="E81" s="107" t="s">
        <v>140</v>
      </c>
      <c r="F81" s="107" t="s">
        <v>75</v>
      </c>
      <c r="G81" s="108" t="s">
        <v>28</v>
      </c>
      <c r="H81" s="107" t="s">
        <v>5</v>
      </c>
      <c r="I81" s="29"/>
      <c r="J81" s="243">
        <f>J82</f>
        <v>3024000</v>
      </c>
      <c r="K81" s="29"/>
      <c r="L81" s="29"/>
      <c r="M81" s="29"/>
      <c r="N81" s="90">
        <f>N82</f>
        <v>252000</v>
      </c>
      <c r="O81" s="200">
        <f t="shared" si="14"/>
        <v>8.333333333333332</v>
      </c>
      <c r="P81" s="90" t="str">
        <f aca="true" t="shared" si="20" ref="P81:V81">P82</f>
        <v>jan</v>
      </c>
      <c r="Q81" s="90" t="str">
        <f t="shared" si="20"/>
        <v>jan</v>
      </c>
      <c r="R81" s="90">
        <f t="shared" si="20"/>
        <v>0</v>
      </c>
      <c r="S81" s="90">
        <f t="shared" si="20"/>
        <v>0</v>
      </c>
      <c r="T81" s="90">
        <f t="shared" si="20"/>
        <v>0</v>
      </c>
      <c r="U81" s="164">
        <f t="shared" si="15"/>
        <v>0</v>
      </c>
      <c r="V81" s="90">
        <f t="shared" si="20"/>
        <v>3024000</v>
      </c>
      <c r="W81" s="164">
        <f t="shared" si="18"/>
        <v>100</v>
      </c>
      <c r="X81" s="90"/>
      <c r="Y81" s="41"/>
      <c r="Z81" s="45"/>
    </row>
    <row r="82" spans="1:26" s="44" customFormat="1" ht="12.75" customHeight="1">
      <c r="A82" s="27"/>
      <c r="B82" s="247" t="s">
        <v>224</v>
      </c>
      <c r="C82" s="35" t="s">
        <v>207</v>
      </c>
      <c r="D82" s="84" t="s">
        <v>76</v>
      </c>
      <c r="E82" s="84" t="s">
        <v>140</v>
      </c>
      <c r="F82" s="84" t="s">
        <v>75</v>
      </c>
      <c r="G82" s="87" t="s">
        <v>28</v>
      </c>
      <c r="H82" s="84" t="s">
        <v>5</v>
      </c>
      <c r="I82" s="27"/>
      <c r="J82" s="248">
        <v>3024000</v>
      </c>
      <c r="K82" s="27"/>
      <c r="L82" s="27"/>
      <c r="M82" s="27" t="s">
        <v>78</v>
      </c>
      <c r="N82" s="149">
        <v>252000</v>
      </c>
      <c r="O82" s="200">
        <f t="shared" si="14"/>
        <v>8.333333333333332</v>
      </c>
      <c r="P82" s="91" t="s">
        <v>139</v>
      </c>
      <c r="Q82" s="91" t="s">
        <v>139</v>
      </c>
      <c r="R82" s="149"/>
      <c r="S82" s="149"/>
      <c r="T82" s="149"/>
      <c r="U82" s="164">
        <f t="shared" si="15"/>
        <v>0</v>
      </c>
      <c r="V82" s="181">
        <f>J82-T82</f>
        <v>3024000</v>
      </c>
      <c r="W82" s="164">
        <f t="shared" si="18"/>
        <v>100</v>
      </c>
      <c r="X82" s="27"/>
      <c r="Y82" s="165"/>
      <c r="Z82" s="46"/>
    </row>
    <row r="83" spans="1:35" s="126" customFormat="1" ht="16.5" customHeight="1">
      <c r="A83" s="118"/>
      <c r="B83" s="127" t="s">
        <v>79</v>
      </c>
      <c r="C83" s="118"/>
      <c r="D83" s="120"/>
      <c r="E83" s="120"/>
      <c r="F83" s="120"/>
      <c r="G83" s="118"/>
      <c r="H83" s="120"/>
      <c r="I83" s="118" t="s">
        <v>28</v>
      </c>
      <c r="J83" s="121">
        <f>J84+J86+J89+J92+J94+J100</f>
        <v>1986928000</v>
      </c>
      <c r="K83" s="121"/>
      <c r="L83" s="121"/>
      <c r="M83" s="121"/>
      <c r="N83" s="121">
        <f aca="true" t="shared" si="21" ref="N83:V83">N84+N86+N89+N92+N94+N100</f>
        <v>165019000</v>
      </c>
      <c r="O83" s="299">
        <f>N83/J83*100</f>
        <v>8.305233002907</v>
      </c>
      <c r="P83" s="121"/>
      <c r="Q83" s="121"/>
      <c r="R83" s="123">
        <f t="shared" si="21"/>
        <v>18000000</v>
      </c>
      <c r="S83" s="123">
        <f t="shared" si="21"/>
        <v>0</v>
      </c>
      <c r="T83" s="123">
        <f t="shared" si="21"/>
        <v>18000000</v>
      </c>
      <c r="U83" s="300">
        <f t="shared" si="15"/>
        <v>10.90783485538029</v>
      </c>
      <c r="V83" s="121">
        <f t="shared" si="21"/>
        <v>1968928000</v>
      </c>
      <c r="W83" s="300">
        <f>V83/J83*100</f>
        <v>99.09407889968837</v>
      </c>
      <c r="X83" s="121"/>
      <c r="Y83" s="41"/>
      <c r="Z83" s="45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26" customFormat="1" ht="13.5">
      <c r="A84" s="10"/>
      <c r="B84" s="83" t="s">
        <v>97</v>
      </c>
      <c r="C84" s="10" t="s">
        <v>126</v>
      </c>
      <c r="D84" s="102" t="s">
        <v>37</v>
      </c>
      <c r="E84" s="102" t="s">
        <v>140</v>
      </c>
      <c r="F84" s="84" t="s">
        <v>75</v>
      </c>
      <c r="G84" s="10" t="s">
        <v>28</v>
      </c>
      <c r="H84" s="102" t="s">
        <v>5</v>
      </c>
      <c r="I84" s="10"/>
      <c r="J84" s="98">
        <f>J85</f>
        <v>1373100000</v>
      </c>
      <c r="K84" s="98"/>
      <c r="L84" s="98"/>
      <c r="M84" s="98"/>
      <c r="N84" s="98">
        <f>N85</f>
        <v>114425000</v>
      </c>
      <c r="O84" s="196">
        <f>N84/J84*100</f>
        <v>8.333333333333332</v>
      </c>
      <c r="P84" s="91" t="s">
        <v>139</v>
      </c>
      <c r="Q84" s="91" t="s">
        <v>139</v>
      </c>
      <c r="R84" s="109">
        <f>R85</f>
        <v>0</v>
      </c>
      <c r="S84" s="109">
        <f>S85</f>
        <v>0</v>
      </c>
      <c r="T84" s="109">
        <f>T85</f>
        <v>0</v>
      </c>
      <c r="U84" s="191">
        <f t="shared" si="15"/>
        <v>0</v>
      </c>
      <c r="V84" s="176">
        <f>V85</f>
        <v>1373100000</v>
      </c>
      <c r="W84" s="191">
        <f>V84/J84*100</f>
        <v>100</v>
      </c>
      <c r="X84" s="105"/>
      <c r="Y84" s="106"/>
      <c r="Z84" s="45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25" customFormat="1" ht="13.5">
      <c r="A85" s="9"/>
      <c r="B85" s="34" t="s">
        <v>98</v>
      </c>
      <c r="C85" s="9" t="s">
        <v>127</v>
      </c>
      <c r="D85" s="5" t="s">
        <v>37</v>
      </c>
      <c r="E85" s="5" t="s">
        <v>140</v>
      </c>
      <c r="F85" s="84" t="s">
        <v>75</v>
      </c>
      <c r="G85" s="9" t="s">
        <v>28</v>
      </c>
      <c r="H85" s="5" t="s">
        <v>5</v>
      </c>
      <c r="I85" s="9" t="s">
        <v>28</v>
      </c>
      <c r="J85" s="11">
        <v>1373100000</v>
      </c>
      <c r="K85" s="82"/>
      <c r="L85" s="37"/>
      <c r="M85" s="7" t="s">
        <v>78</v>
      </c>
      <c r="N85" s="112">
        <v>114425000</v>
      </c>
      <c r="O85" s="196">
        <f aca="true" t="shared" si="22" ref="O85:O102">N85/J85*100</f>
        <v>8.333333333333332</v>
      </c>
      <c r="P85" s="91" t="s">
        <v>139</v>
      </c>
      <c r="Q85" s="91" t="s">
        <v>139</v>
      </c>
      <c r="R85" s="12"/>
      <c r="S85" s="12"/>
      <c r="T85" s="12">
        <f>R85+S85</f>
        <v>0</v>
      </c>
      <c r="U85" s="191">
        <f aca="true" t="shared" si="23" ref="U85:U102">T85/N85*100</f>
        <v>0</v>
      </c>
      <c r="V85" s="181">
        <f>J85-T85</f>
        <v>1373100000</v>
      </c>
      <c r="W85" s="191">
        <f aca="true" t="shared" si="24" ref="W85:W102">V85/J85*100</f>
        <v>100</v>
      </c>
      <c r="X85" s="7"/>
      <c r="Y85" s="38"/>
      <c r="Z85" s="46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s="26" customFormat="1" ht="13.5">
      <c r="A86" s="10"/>
      <c r="B86" s="28" t="s">
        <v>94</v>
      </c>
      <c r="C86" s="10" t="s">
        <v>122</v>
      </c>
      <c r="D86" s="102" t="s">
        <v>37</v>
      </c>
      <c r="E86" s="102" t="s">
        <v>140</v>
      </c>
      <c r="F86" s="84" t="s">
        <v>75</v>
      </c>
      <c r="G86" s="10" t="s">
        <v>28</v>
      </c>
      <c r="H86" s="102" t="s">
        <v>5</v>
      </c>
      <c r="I86" s="10"/>
      <c r="J86" s="98">
        <f>J87+J88</f>
        <v>282178000</v>
      </c>
      <c r="K86" s="98"/>
      <c r="L86" s="98"/>
      <c r="M86" s="98"/>
      <c r="N86" s="98">
        <f>N87+N88</f>
        <v>23514000</v>
      </c>
      <c r="O86" s="196">
        <f t="shared" si="22"/>
        <v>8.333038011467938</v>
      </c>
      <c r="P86" s="91" t="s">
        <v>139</v>
      </c>
      <c r="Q86" s="91" t="s">
        <v>139</v>
      </c>
      <c r="R86" s="109">
        <f>R87</f>
        <v>18000000</v>
      </c>
      <c r="S86" s="109">
        <f>S87</f>
        <v>0</v>
      </c>
      <c r="T86" s="109">
        <f>T87</f>
        <v>18000000</v>
      </c>
      <c r="U86" s="191">
        <f t="shared" si="23"/>
        <v>76.55014034192395</v>
      </c>
      <c r="V86" s="176">
        <f>V88+V87</f>
        <v>264178000</v>
      </c>
      <c r="W86" s="191">
        <f>V86/J86*100</f>
        <v>93.62104770747543</v>
      </c>
      <c r="X86" s="105"/>
      <c r="Y86" s="106"/>
      <c r="Z86" s="45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25" customFormat="1" ht="13.5">
      <c r="A87" s="9"/>
      <c r="B87" s="34" t="s">
        <v>99</v>
      </c>
      <c r="C87" s="9" t="s">
        <v>123</v>
      </c>
      <c r="D87" s="5" t="s">
        <v>37</v>
      </c>
      <c r="E87" s="5" t="s">
        <v>140</v>
      </c>
      <c r="F87" s="84" t="s">
        <v>75</v>
      </c>
      <c r="G87" s="9" t="s">
        <v>28</v>
      </c>
      <c r="H87" s="5" t="s">
        <v>5</v>
      </c>
      <c r="I87" s="9"/>
      <c r="J87" s="11">
        <v>234000000</v>
      </c>
      <c r="K87" s="82"/>
      <c r="L87" s="37"/>
      <c r="M87" s="7" t="s">
        <v>78</v>
      </c>
      <c r="N87" s="112">
        <v>19500000</v>
      </c>
      <c r="O87" s="196">
        <f t="shared" si="22"/>
        <v>8.333333333333332</v>
      </c>
      <c r="P87" s="91" t="s">
        <v>139</v>
      </c>
      <c r="Q87" s="91" t="s">
        <v>139</v>
      </c>
      <c r="R87" s="12">
        <v>18000000</v>
      </c>
      <c r="S87" s="12"/>
      <c r="T87" s="12">
        <f>R87+S87</f>
        <v>18000000</v>
      </c>
      <c r="U87" s="191">
        <f t="shared" si="23"/>
        <v>92.3076923076923</v>
      </c>
      <c r="V87" s="181">
        <f>J87-T87</f>
        <v>216000000</v>
      </c>
      <c r="W87" s="191">
        <f t="shared" si="24"/>
        <v>92.3076923076923</v>
      </c>
      <c r="X87" s="7"/>
      <c r="Y87" s="38"/>
      <c r="Z87" s="46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s="25" customFormat="1" ht="13.5">
      <c r="A88" s="9"/>
      <c r="B88" s="34" t="s">
        <v>95</v>
      </c>
      <c r="C88" s="9" t="s">
        <v>124</v>
      </c>
      <c r="D88" s="5" t="s">
        <v>37</v>
      </c>
      <c r="E88" s="5" t="s">
        <v>140</v>
      </c>
      <c r="F88" s="84" t="s">
        <v>75</v>
      </c>
      <c r="G88" s="9" t="s">
        <v>28</v>
      </c>
      <c r="H88" s="5" t="s">
        <v>5</v>
      </c>
      <c r="I88" s="9"/>
      <c r="J88" s="11">
        <v>48178000</v>
      </c>
      <c r="K88" s="82"/>
      <c r="L88" s="37"/>
      <c r="M88" s="7" t="s">
        <v>78</v>
      </c>
      <c r="N88" s="112">
        <v>4014000</v>
      </c>
      <c r="O88" s="196">
        <f t="shared" si="22"/>
        <v>8.331603636514592</v>
      </c>
      <c r="P88" s="91" t="s">
        <v>139</v>
      </c>
      <c r="Q88" s="91" t="s">
        <v>139</v>
      </c>
      <c r="R88" s="12"/>
      <c r="S88" s="12"/>
      <c r="T88" s="12"/>
      <c r="U88" s="191">
        <f t="shared" si="23"/>
        <v>0</v>
      </c>
      <c r="V88" s="181">
        <f>J88-T88</f>
        <v>48178000</v>
      </c>
      <c r="W88" s="191">
        <f t="shared" si="24"/>
        <v>100</v>
      </c>
      <c r="X88" s="7"/>
      <c r="Y88" s="38"/>
      <c r="Z88" s="46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s="26" customFormat="1" ht="13.5">
      <c r="A89" s="10"/>
      <c r="B89" s="28" t="s">
        <v>228</v>
      </c>
      <c r="C89" s="159" t="s">
        <v>231</v>
      </c>
      <c r="D89" s="102" t="s">
        <v>37</v>
      </c>
      <c r="E89" s="102" t="s">
        <v>140</v>
      </c>
      <c r="F89" s="107" t="s">
        <v>75</v>
      </c>
      <c r="G89" s="10" t="s">
        <v>28</v>
      </c>
      <c r="H89" s="102" t="s">
        <v>5</v>
      </c>
      <c r="I89" s="10"/>
      <c r="J89" s="98">
        <f>SUM(J90:J91)</f>
        <v>24500000</v>
      </c>
      <c r="K89" s="98"/>
      <c r="L89" s="98"/>
      <c r="M89" s="98"/>
      <c r="N89" s="98">
        <f>SUM(N90:N93)</f>
        <v>2000000</v>
      </c>
      <c r="O89" s="196">
        <f t="shared" si="22"/>
        <v>8.16326530612245</v>
      </c>
      <c r="P89" s="91" t="s">
        <v>139</v>
      </c>
      <c r="Q89" s="91" t="s">
        <v>139</v>
      </c>
      <c r="R89" s="110">
        <f>SUM(R90:R93)</f>
        <v>0</v>
      </c>
      <c r="S89" s="110">
        <f>SUM(S90:S93)</f>
        <v>0</v>
      </c>
      <c r="T89" s="110">
        <f>SUM(T90:T93)</f>
        <v>0</v>
      </c>
      <c r="U89" s="191">
        <f t="shared" si="23"/>
        <v>0</v>
      </c>
      <c r="V89" s="98">
        <f>SUM(V90:V91)</f>
        <v>24500000</v>
      </c>
      <c r="W89" s="191">
        <f t="shared" si="24"/>
        <v>100</v>
      </c>
      <c r="X89" s="98">
        <f>SUM(X90:X93)</f>
        <v>0</v>
      </c>
      <c r="Y89" s="106"/>
      <c r="Z89" s="45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25" customFormat="1" ht="13.5">
      <c r="A90" s="9"/>
      <c r="B90" s="247" t="s">
        <v>229</v>
      </c>
      <c r="C90" s="158" t="s">
        <v>232</v>
      </c>
      <c r="D90" s="5" t="s">
        <v>37</v>
      </c>
      <c r="E90" s="5" t="s">
        <v>140</v>
      </c>
      <c r="F90" s="84" t="s">
        <v>75</v>
      </c>
      <c r="G90" s="9" t="s">
        <v>28</v>
      </c>
      <c r="H90" s="5" t="s">
        <v>5</v>
      </c>
      <c r="I90" s="9"/>
      <c r="J90" s="11">
        <v>12000000</v>
      </c>
      <c r="K90" s="82"/>
      <c r="L90" s="37"/>
      <c r="M90" s="7" t="s">
        <v>78</v>
      </c>
      <c r="N90" s="112">
        <v>1000000</v>
      </c>
      <c r="O90" s="196">
        <f t="shared" si="22"/>
        <v>8.333333333333332</v>
      </c>
      <c r="P90" s="91" t="s">
        <v>139</v>
      </c>
      <c r="Q90" s="91" t="s">
        <v>139</v>
      </c>
      <c r="R90" s="12"/>
      <c r="S90" s="12"/>
      <c r="T90" s="12"/>
      <c r="U90" s="191">
        <f t="shared" si="23"/>
        <v>0</v>
      </c>
      <c r="V90" s="181">
        <f>J90-T90</f>
        <v>12000000</v>
      </c>
      <c r="W90" s="191">
        <f t="shared" si="24"/>
        <v>100</v>
      </c>
      <c r="X90" s="7"/>
      <c r="Y90" s="38"/>
      <c r="Z90" s="46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s="25" customFormat="1" ht="13.5">
      <c r="A91" s="9"/>
      <c r="B91" s="247" t="s">
        <v>230</v>
      </c>
      <c r="C91" s="158" t="s">
        <v>233</v>
      </c>
      <c r="D91" s="5" t="s">
        <v>37</v>
      </c>
      <c r="E91" s="5" t="s">
        <v>140</v>
      </c>
      <c r="F91" s="84" t="s">
        <v>75</v>
      </c>
      <c r="G91" s="9" t="s">
        <v>28</v>
      </c>
      <c r="H91" s="5" t="s">
        <v>5</v>
      </c>
      <c r="I91" s="9"/>
      <c r="J91" s="11">
        <v>12500000</v>
      </c>
      <c r="K91" s="82"/>
      <c r="L91" s="37"/>
      <c r="M91" s="7" t="s">
        <v>78</v>
      </c>
      <c r="N91" s="112">
        <v>1000000</v>
      </c>
      <c r="O91" s="196">
        <f t="shared" si="22"/>
        <v>8</v>
      </c>
      <c r="P91" s="91" t="s">
        <v>139</v>
      </c>
      <c r="Q91" s="91" t="s">
        <v>139</v>
      </c>
      <c r="R91" s="12"/>
      <c r="S91" s="12"/>
      <c r="T91" s="12"/>
      <c r="U91" s="191">
        <f t="shared" si="23"/>
        <v>0</v>
      </c>
      <c r="V91" s="181">
        <f>J91-T91</f>
        <v>12500000</v>
      </c>
      <c r="W91" s="191">
        <f t="shared" si="24"/>
        <v>100</v>
      </c>
      <c r="X91" s="7"/>
      <c r="Y91" s="38"/>
      <c r="Z91" s="46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s="26" customFormat="1" ht="13.5">
      <c r="A92" s="10"/>
      <c r="B92" s="242" t="s">
        <v>234</v>
      </c>
      <c r="C92" s="159" t="s">
        <v>235</v>
      </c>
      <c r="D92" s="102" t="s">
        <v>37</v>
      </c>
      <c r="E92" s="102" t="s">
        <v>308</v>
      </c>
      <c r="F92" s="107" t="s">
        <v>75</v>
      </c>
      <c r="G92" s="10" t="s">
        <v>28</v>
      </c>
      <c r="H92" s="102" t="s">
        <v>5</v>
      </c>
      <c r="I92" s="10"/>
      <c r="J92" s="98">
        <f>J93</f>
        <v>2550000</v>
      </c>
      <c r="K92" s="98"/>
      <c r="L92" s="98"/>
      <c r="M92" s="98"/>
      <c r="N92" s="98">
        <f>N93</f>
        <v>0</v>
      </c>
      <c r="O92" s="196">
        <f t="shared" si="22"/>
        <v>0</v>
      </c>
      <c r="P92" s="91" t="s">
        <v>139</v>
      </c>
      <c r="Q92" s="91" t="s">
        <v>139</v>
      </c>
      <c r="R92" s="110">
        <f>R93</f>
        <v>0</v>
      </c>
      <c r="S92" s="110">
        <f>S93</f>
        <v>0</v>
      </c>
      <c r="T92" s="110">
        <f>T93</f>
        <v>0</v>
      </c>
      <c r="U92" s="191">
        <v>0</v>
      </c>
      <c r="V92" s="98">
        <f>V93</f>
        <v>2550000</v>
      </c>
      <c r="W92" s="191">
        <f t="shared" si="24"/>
        <v>100</v>
      </c>
      <c r="X92" s="98">
        <f>X93</f>
        <v>0</v>
      </c>
      <c r="Y92" s="106"/>
      <c r="Z92" s="45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25" customFormat="1" ht="13.5">
      <c r="A93" s="9"/>
      <c r="B93" s="247" t="s">
        <v>150</v>
      </c>
      <c r="C93" s="158" t="s">
        <v>236</v>
      </c>
      <c r="D93" s="5" t="s">
        <v>37</v>
      </c>
      <c r="E93" s="5" t="s">
        <v>308</v>
      </c>
      <c r="F93" s="84" t="s">
        <v>75</v>
      </c>
      <c r="G93" s="9" t="s">
        <v>28</v>
      </c>
      <c r="H93" s="5" t="s">
        <v>5</v>
      </c>
      <c r="I93" s="9"/>
      <c r="J93" s="11">
        <v>2550000</v>
      </c>
      <c r="K93" s="82"/>
      <c r="L93" s="37"/>
      <c r="M93" s="7" t="s">
        <v>78</v>
      </c>
      <c r="N93" s="112">
        <v>0</v>
      </c>
      <c r="O93" s="196">
        <f t="shared" si="22"/>
        <v>0</v>
      </c>
      <c r="P93" s="91" t="s">
        <v>309</v>
      </c>
      <c r="Q93" s="91" t="s">
        <v>309</v>
      </c>
      <c r="R93" s="12"/>
      <c r="S93" s="12"/>
      <c r="T93" s="12"/>
      <c r="U93" s="191">
        <v>0</v>
      </c>
      <c r="V93" s="181">
        <f>J93-T93</f>
        <v>2550000</v>
      </c>
      <c r="W93" s="191">
        <f t="shared" si="24"/>
        <v>100</v>
      </c>
      <c r="X93" s="7"/>
      <c r="Y93" s="38"/>
      <c r="Z93" s="46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s="26" customFormat="1" ht="13.5">
      <c r="A94" s="10"/>
      <c r="B94" s="28" t="s">
        <v>151</v>
      </c>
      <c r="C94" s="159">
        <v>2124</v>
      </c>
      <c r="D94" s="102" t="s">
        <v>76</v>
      </c>
      <c r="E94" s="102" t="s">
        <v>140</v>
      </c>
      <c r="F94" s="84" t="s">
        <v>75</v>
      </c>
      <c r="G94" s="10" t="s">
        <v>28</v>
      </c>
      <c r="H94" s="102" t="s">
        <v>5</v>
      </c>
      <c r="I94" s="10"/>
      <c r="J94" s="98">
        <f>SUM(J95:J99)</f>
        <v>177700000</v>
      </c>
      <c r="K94" s="98"/>
      <c r="L94" s="98"/>
      <c r="M94" s="98"/>
      <c r="N94" s="98">
        <f>SUM(N95:N99)</f>
        <v>14505000</v>
      </c>
      <c r="O94" s="196">
        <f t="shared" si="22"/>
        <v>8.162633652222848</v>
      </c>
      <c r="P94" s="91" t="s">
        <v>139</v>
      </c>
      <c r="Q94" s="91" t="s">
        <v>139</v>
      </c>
      <c r="R94" s="111">
        <f>R95</f>
        <v>0</v>
      </c>
      <c r="S94" s="111">
        <f>S95</f>
        <v>0</v>
      </c>
      <c r="T94" s="111">
        <f>T95</f>
        <v>0</v>
      </c>
      <c r="U94" s="191">
        <f t="shared" si="23"/>
        <v>0</v>
      </c>
      <c r="V94" s="176">
        <f>SUM(V95:V99)</f>
        <v>177700000</v>
      </c>
      <c r="W94" s="191">
        <f t="shared" si="24"/>
        <v>100</v>
      </c>
      <c r="X94" s="105"/>
      <c r="Y94" s="106"/>
      <c r="Z94" s="45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25" customFormat="1" ht="13.5">
      <c r="A95" s="9"/>
      <c r="B95" s="247" t="s">
        <v>237</v>
      </c>
      <c r="C95" s="158" t="s">
        <v>242</v>
      </c>
      <c r="D95" s="5" t="s">
        <v>76</v>
      </c>
      <c r="E95" s="5" t="s">
        <v>140</v>
      </c>
      <c r="F95" s="84" t="s">
        <v>75</v>
      </c>
      <c r="G95" s="9" t="s">
        <v>28</v>
      </c>
      <c r="H95" s="5" t="s">
        <v>5</v>
      </c>
      <c r="I95" s="9"/>
      <c r="J95" s="11">
        <v>30000000</v>
      </c>
      <c r="K95" s="82"/>
      <c r="L95" s="37"/>
      <c r="M95" s="7" t="s">
        <v>221</v>
      </c>
      <c r="N95" s="112">
        <v>2500000</v>
      </c>
      <c r="O95" s="196">
        <f t="shared" si="22"/>
        <v>8.333333333333332</v>
      </c>
      <c r="P95" s="91" t="s">
        <v>139</v>
      </c>
      <c r="Q95" s="91" t="s">
        <v>139</v>
      </c>
      <c r="R95" s="12"/>
      <c r="S95" s="12"/>
      <c r="T95" s="12">
        <f>R95+S95</f>
        <v>0</v>
      </c>
      <c r="U95" s="191">
        <f t="shared" si="23"/>
        <v>0</v>
      </c>
      <c r="V95" s="181">
        <f>J95-T95</f>
        <v>30000000</v>
      </c>
      <c r="W95" s="191">
        <f t="shared" si="24"/>
        <v>100</v>
      </c>
      <c r="X95" s="7"/>
      <c r="Y95" s="38"/>
      <c r="Z95" s="46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s="25" customFormat="1" ht="13.5">
      <c r="A96" s="9"/>
      <c r="B96" s="247" t="s">
        <v>238</v>
      </c>
      <c r="C96" s="158" t="s">
        <v>243</v>
      </c>
      <c r="D96" s="5" t="s">
        <v>76</v>
      </c>
      <c r="E96" s="5" t="s">
        <v>140</v>
      </c>
      <c r="F96" s="84" t="s">
        <v>75</v>
      </c>
      <c r="G96" s="9" t="s">
        <v>28</v>
      </c>
      <c r="H96" s="5" t="s">
        <v>5</v>
      </c>
      <c r="I96" s="9"/>
      <c r="J96" s="11">
        <v>10500000</v>
      </c>
      <c r="K96" s="82"/>
      <c r="L96" s="37"/>
      <c r="M96" s="7" t="s">
        <v>78</v>
      </c>
      <c r="N96" s="112">
        <v>875000</v>
      </c>
      <c r="O96" s="196">
        <f t="shared" si="22"/>
        <v>8.333333333333332</v>
      </c>
      <c r="P96" s="91" t="s">
        <v>139</v>
      </c>
      <c r="Q96" s="91" t="s">
        <v>139</v>
      </c>
      <c r="R96" s="12"/>
      <c r="S96" s="12"/>
      <c r="T96" s="12"/>
      <c r="U96" s="191">
        <f t="shared" si="23"/>
        <v>0</v>
      </c>
      <c r="V96" s="181">
        <f>J96-T96</f>
        <v>10500000</v>
      </c>
      <c r="W96" s="191">
        <f t="shared" si="24"/>
        <v>100</v>
      </c>
      <c r="X96" s="7"/>
      <c r="Y96" s="38"/>
      <c r="Z96" s="46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s="25" customFormat="1" ht="13.5">
      <c r="A97" s="9"/>
      <c r="B97" s="247" t="s">
        <v>239</v>
      </c>
      <c r="C97" s="158" t="s">
        <v>243</v>
      </c>
      <c r="D97" s="5" t="s">
        <v>76</v>
      </c>
      <c r="E97" s="5" t="s">
        <v>140</v>
      </c>
      <c r="F97" s="84" t="s">
        <v>75</v>
      </c>
      <c r="G97" s="9" t="s">
        <v>28</v>
      </c>
      <c r="H97" s="5" t="s">
        <v>5</v>
      </c>
      <c r="I97" s="9"/>
      <c r="J97" s="11">
        <v>115600000</v>
      </c>
      <c r="K97" s="82"/>
      <c r="L97" s="37"/>
      <c r="M97" s="7" t="s">
        <v>221</v>
      </c>
      <c r="N97" s="112">
        <v>9630000</v>
      </c>
      <c r="O97" s="196">
        <f t="shared" si="22"/>
        <v>8.33044982698962</v>
      </c>
      <c r="P97" s="91" t="s">
        <v>139</v>
      </c>
      <c r="Q97" s="91" t="s">
        <v>139</v>
      </c>
      <c r="R97" s="12"/>
      <c r="S97" s="12"/>
      <c r="T97" s="12"/>
      <c r="U97" s="191">
        <f t="shared" si="23"/>
        <v>0</v>
      </c>
      <c r="V97" s="181">
        <f>J97-T97</f>
        <v>115600000</v>
      </c>
      <c r="W97" s="191">
        <f t="shared" si="24"/>
        <v>100</v>
      </c>
      <c r="X97" s="7"/>
      <c r="Y97" s="38"/>
      <c r="Z97" s="46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s="25" customFormat="1" ht="13.5">
      <c r="A98" s="9"/>
      <c r="B98" s="247" t="s">
        <v>240</v>
      </c>
      <c r="C98" s="158" t="s">
        <v>244</v>
      </c>
      <c r="D98" s="5" t="s">
        <v>76</v>
      </c>
      <c r="E98" s="5" t="s">
        <v>307</v>
      </c>
      <c r="F98" s="84" t="s">
        <v>75</v>
      </c>
      <c r="G98" s="9" t="s">
        <v>28</v>
      </c>
      <c r="H98" s="5" t="s">
        <v>5</v>
      </c>
      <c r="I98" s="9"/>
      <c r="J98" s="11">
        <v>3600000</v>
      </c>
      <c r="K98" s="82"/>
      <c r="L98" s="37"/>
      <c r="M98" s="7" t="s">
        <v>78</v>
      </c>
      <c r="N98" s="112">
        <v>0</v>
      </c>
      <c r="O98" s="196">
        <f t="shared" si="22"/>
        <v>0</v>
      </c>
      <c r="P98" s="91" t="s">
        <v>309</v>
      </c>
      <c r="Q98" s="91" t="s">
        <v>309</v>
      </c>
      <c r="R98" s="12"/>
      <c r="S98" s="12"/>
      <c r="T98" s="12"/>
      <c r="U98" s="191">
        <v>0</v>
      </c>
      <c r="V98" s="181">
        <f>J98-T98</f>
        <v>3600000</v>
      </c>
      <c r="W98" s="191">
        <f t="shared" si="24"/>
        <v>100</v>
      </c>
      <c r="X98" s="7"/>
      <c r="Y98" s="38"/>
      <c r="Z98" s="46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s="25" customFormat="1" ht="13.5">
      <c r="A99" s="9"/>
      <c r="B99" s="247" t="s">
        <v>241</v>
      </c>
      <c r="C99" s="158" t="s">
        <v>245</v>
      </c>
      <c r="D99" s="5" t="s">
        <v>76</v>
      </c>
      <c r="E99" s="5" t="s">
        <v>140</v>
      </c>
      <c r="F99" s="84" t="s">
        <v>75</v>
      </c>
      <c r="G99" s="9" t="s">
        <v>28</v>
      </c>
      <c r="H99" s="5" t="s">
        <v>5</v>
      </c>
      <c r="I99" s="9"/>
      <c r="J99" s="11">
        <v>18000000</v>
      </c>
      <c r="K99" s="82"/>
      <c r="L99" s="37"/>
      <c r="M99" s="7" t="s">
        <v>78</v>
      </c>
      <c r="N99" s="112">
        <v>1500000</v>
      </c>
      <c r="O99" s="196">
        <f t="shared" si="22"/>
        <v>8.333333333333332</v>
      </c>
      <c r="P99" s="91" t="s">
        <v>139</v>
      </c>
      <c r="Q99" s="91" t="s">
        <v>139</v>
      </c>
      <c r="R99" s="12"/>
      <c r="S99" s="12"/>
      <c r="T99" s="12"/>
      <c r="U99" s="191">
        <f t="shared" si="23"/>
        <v>0</v>
      </c>
      <c r="V99" s="181">
        <f>J99-T99</f>
        <v>18000000</v>
      </c>
      <c r="W99" s="191">
        <f t="shared" si="24"/>
        <v>100</v>
      </c>
      <c r="X99" s="7"/>
      <c r="Y99" s="38"/>
      <c r="Z99" s="46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s="26" customFormat="1" ht="13.5">
      <c r="A100" s="10"/>
      <c r="B100" s="28" t="s">
        <v>100</v>
      </c>
      <c r="C100" s="10" t="s">
        <v>128</v>
      </c>
      <c r="D100" s="102" t="s">
        <v>37</v>
      </c>
      <c r="E100" s="102" t="s">
        <v>140</v>
      </c>
      <c r="F100" s="84" t="s">
        <v>75</v>
      </c>
      <c r="G100" s="10" t="s">
        <v>28</v>
      </c>
      <c r="H100" s="102" t="s">
        <v>5</v>
      </c>
      <c r="I100" s="10"/>
      <c r="J100" s="98">
        <f>J101+J102</f>
        <v>126900000</v>
      </c>
      <c r="K100" s="98"/>
      <c r="L100" s="98"/>
      <c r="M100" s="98"/>
      <c r="N100" s="98">
        <f>N101+N102</f>
        <v>10575000</v>
      </c>
      <c r="O100" s="196">
        <f t="shared" si="22"/>
        <v>8.333333333333332</v>
      </c>
      <c r="P100" s="91" t="s">
        <v>139</v>
      </c>
      <c r="Q100" s="91" t="s">
        <v>139</v>
      </c>
      <c r="R100" s="109">
        <f>R101+R102</f>
        <v>0</v>
      </c>
      <c r="S100" s="109">
        <f>S101+S102</f>
        <v>0</v>
      </c>
      <c r="T100" s="109">
        <f>T101+T102</f>
        <v>0</v>
      </c>
      <c r="U100" s="191">
        <f t="shared" si="23"/>
        <v>0</v>
      </c>
      <c r="V100" s="176">
        <f>V101+V102</f>
        <v>126900000</v>
      </c>
      <c r="W100" s="191">
        <f t="shared" si="24"/>
        <v>100</v>
      </c>
      <c r="X100" s="105"/>
      <c r="Y100" s="106"/>
      <c r="Z100" s="45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25" customFormat="1" ht="13.5">
      <c r="A101" s="9"/>
      <c r="B101" s="34" t="s">
        <v>101</v>
      </c>
      <c r="C101" s="9" t="s">
        <v>129</v>
      </c>
      <c r="D101" s="5" t="s">
        <v>37</v>
      </c>
      <c r="E101" s="5" t="s">
        <v>140</v>
      </c>
      <c r="F101" s="84" t="s">
        <v>75</v>
      </c>
      <c r="G101" s="9" t="s">
        <v>28</v>
      </c>
      <c r="H101" s="5" t="s">
        <v>5</v>
      </c>
      <c r="I101" s="9"/>
      <c r="J101" s="11">
        <v>84000000</v>
      </c>
      <c r="K101" s="82"/>
      <c r="L101" s="37"/>
      <c r="M101" s="7" t="s">
        <v>221</v>
      </c>
      <c r="N101" s="112">
        <v>7000000</v>
      </c>
      <c r="O101" s="196">
        <f t="shared" si="22"/>
        <v>8.333333333333332</v>
      </c>
      <c r="P101" s="91" t="s">
        <v>139</v>
      </c>
      <c r="Q101" s="91" t="s">
        <v>139</v>
      </c>
      <c r="R101" s="12"/>
      <c r="S101" s="12"/>
      <c r="T101" s="12">
        <f>R101+S101</f>
        <v>0</v>
      </c>
      <c r="U101" s="191">
        <f t="shared" si="23"/>
        <v>0</v>
      </c>
      <c r="V101" s="181">
        <f>J101-T101</f>
        <v>84000000</v>
      </c>
      <c r="W101" s="191">
        <f t="shared" si="24"/>
        <v>100</v>
      </c>
      <c r="X101" s="7"/>
      <c r="Y101" s="38"/>
      <c r="Z101" s="46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s="25" customFormat="1" ht="13.5">
      <c r="A102" s="9"/>
      <c r="B102" s="34" t="s">
        <v>152</v>
      </c>
      <c r="C102" s="158">
        <v>125005</v>
      </c>
      <c r="D102" s="5" t="s">
        <v>37</v>
      </c>
      <c r="E102" s="5" t="s">
        <v>140</v>
      </c>
      <c r="F102" s="84" t="s">
        <v>75</v>
      </c>
      <c r="G102" s="9" t="s">
        <v>28</v>
      </c>
      <c r="H102" s="5" t="s">
        <v>5</v>
      </c>
      <c r="I102" s="9"/>
      <c r="J102" s="11">
        <v>42900000</v>
      </c>
      <c r="K102" s="82"/>
      <c r="L102" s="37"/>
      <c r="M102" s="7" t="s">
        <v>221</v>
      </c>
      <c r="N102" s="112">
        <v>3575000</v>
      </c>
      <c r="O102" s="196">
        <f t="shared" si="22"/>
        <v>8.333333333333332</v>
      </c>
      <c r="P102" s="91" t="s">
        <v>139</v>
      </c>
      <c r="Q102" s="91" t="s">
        <v>139</v>
      </c>
      <c r="R102" s="12"/>
      <c r="S102" s="12"/>
      <c r="T102" s="12">
        <f>R102+S102</f>
        <v>0</v>
      </c>
      <c r="U102" s="191">
        <f t="shared" si="23"/>
        <v>0</v>
      </c>
      <c r="V102" s="181">
        <f>J102-T102</f>
        <v>42900000</v>
      </c>
      <c r="W102" s="191">
        <f t="shared" si="24"/>
        <v>100</v>
      </c>
      <c r="X102" s="7"/>
      <c r="Y102" s="38"/>
      <c r="Z102" s="46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s="26" customFormat="1" ht="12.75" customHeight="1">
      <c r="A103" s="348" t="s">
        <v>20</v>
      </c>
      <c r="B103" s="349" t="s">
        <v>102</v>
      </c>
      <c r="C103" s="350"/>
      <c r="D103" s="350"/>
      <c r="E103" s="350"/>
      <c r="F103" s="350"/>
      <c r="G103" s="350"/>
      <c r="H103" s="350"/>
      <c r="I103" s="350"/>
      <c r="J103" s="351">
        <f>J105+J114+J118+J123+J143</f>
        <v>4198054400</v>
      </c>
      <c r="K103" s="351"/>
      <c r="L103" s="351"/>
      <c r="M103" s="351"/>
      <c r="N103" s="351">
        <f aca="true" t="shared" si="25" ref="N103:V103">N105+N114+N118+N123+N143</f>
        <v>1488216100</v>
      </c>
      <c r="O103" s="351">
        <f>N103/J103*100</f>
        <v>35.4501385213112</v>
      </c>
      <c r="P103" s="351"/>
      <c r="Q103" s="351"/>
      <c r="R103" s="351">
        <f t="shared" si="25"/>
        <v>9000000</v>
      </c>
      <c r="S103" s="351">
        <f t="shared" si="25"/>
        <v>0</v>
      </c>
      <c r="T103" s="351">
        <f t="shared" si="25"/>
        <v>9000000</v>
      </c>
      <c r="U103" s="351">
        <f t="shared" si="25"/>
        <v>0.6950345802871513</v>
      </c>
      <c r="V103" s="351">
        <f t="shared" si="25"/>
        <v>4189054400</v>
      </c>
      <c r="W103" s="351">
        <f>V103/J103*100</f>
        <v>99.78561497440339</v>
      </c>
      <c r="X103" s="351"/>
      <c r="Y103" s="106"/>
      <c r="Z103" s="45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26" customFormat="1" ht="12" customHeight="1">
      <c r="A104" s="348"/>
      <c r="B104" s="349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52"/>
      <c r="Z104" s="45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140" customFormat="1" ht="29.25" customHeight="1">
      <c r="A105" s="130">
        <v>1</v>
      </c>
      <c r="B105" s="143" t="s">
        <v>103</v>
      </c>
      <c r="C105" s="130" t="s">
        <v>130</v>
      </c>
      <c r="D105" s="132" t="s">
        <v>37</v>
      </c>
      <c r="E105" s="132" t="s">
        <v>140</v>
      </c>
      <c r="F105" s="213" t="s">
        <v>75</v>
      </c>
      <c r="G105" s="130" t="s">
        <v>28</v>
      </c>
      <c r="H105" s="132" t="s">
        <v>5</v>
      </c>
      <c r="I105" s="130" t="s">
        <v>28</v>
      </c>
      <c r="J105" s="133">
        <f>J109+J106</f>
        <v>174000000</v>
      </c>
      <c r="K105" s="134"/>
      <c r="L105" s="135"/>
      <c r="M105" s="270"/>
      <c r="N105" s="137">
        <f>N106+N109</f>
        <v>18337500</v>
      </c>
      <c r="O105" s="194">
        <f>N105/J105*100</f>
        <v>10.538793103448276</v>
      </c>
      <c r="P105" s="168"/>
      <c r="Q105" s="168"/>
      <c r="R105" s="138">
        <f>R106+R109</f>
        <v>0</v>
      </c>
      <c r="S105" s="138">
        <f>S106+S109</f>
        <v>0</v>
      </c>
      <c r="T105" s="138">
        <f>T106+T109</f>
        <v>0</v>
      </c>
      <c r="U105" s="214">
        <f>T105/N105*100</f>
        <v>0</v>
      </c>
      <c r="V105" s="139">
        <f>V106+V109</f>
        <v>174000000</v>
      </c>
      <c r="W105" s="301">
        <f>V105/J105*100</f>
        <v>100</v>
      </c>
      <c r="X105" s="139"/>
      <c r="Y105" s="41"/>
      <c r="Z105" s="45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126" customFormat="1" ht="15" customHeight="1">
      <c r="A106" s="147"/>
      <c r="B106" s="129" t="s">
        <v>83</v>
      </c>
      <c r="C106" s="161"/>
      <c r="D106" s="120"/>
      <c r="E106" s="120"/>
      <c r="F106" s="120"/>
      <c r="G106" s="118"/>
      <c r="H106" s="120"/>
      <c r="I106" s="147"/>
      <c r="J106" s="162">
        <f>J107</f>
        <v>4050000</v>
      </c>
      <c r="K106" s="147"/>
      <c r="L106" s="147"/>
      <c r="M106" s="147"/>
      <c r="N106" s="148">
        <f>N107</f>
        <v>337500</v>
      </c>
      <c r="O106" s="198">
        <f aca="true" t="shared" si="26" ref="O106:O121">N106/J106*100</f>
        <v>8.333333333333332</v>
      </c>
      <c r="P106" s="147"/>
      <c r="Q106" s="147"/>
      <c r="R106" s="183">
        <f aca="true" t="shared" si="27" ref="R106:T107">R107</f>
        <v>0</v>
      </c>
      <c r="S106" s="148">
        <f t="shared" si="27"/>
        <v>0</v>
      </c>
      <c r="T106" s="148">
        <f>T107</f>
        <v>0</v>
      </c>
      <c r="U106" s="215">
        <f aca="true" t="shared" si="28" ref="U106:U121">T106/N106*100</f>
        <v>0</v>
      </c>
      <c r="V106" s="125">
        <f>V107</f>
        <v>4050000</v>
      </c>
      <c r="W106" s="189">
        <f aca="true" t="shared" si="29" ref="W106:W112">V106/J106*100</f>
        <v>100</v>
      </c>
      <c r="X106" s="147"/>
      <c r="Y106" s="41"/>
      <c r="Z106" s="45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26" s="43" customFormat="1" ht="15" customHeight="1">
      <c r="A107" s="29"/>
      <c r="B107" s="96" t="s">
        <v>149</v>
      </c>
      <c r="C107" s="163">
        <v>1001</v>
      </c>
      <c r="D107" s="107" t="s">
        <v>76</v>
      </c>
      <c r="E107" s="107" t="s">
        <v>140</v>
      </c>
      <c r="F107" s="84" t="s">
        <v>75</v>
      </c>
      <c r="G107" s="108" t="s">
        <v>28</v>
      </c>
      <c r="H107" s="107" t="s">
        <v>5</v>
      </c>
      <c r="I107" s="29"/>
      <c r="J107" s="160">
        <f>J108</f>
        <v>4050000</v>
      </c>
      <c r="K107" s="29"/>
      <c r="L107" s="29"/>
      <c r="M107" s="29"/>
      <c r="N107" s="90">
        <f>N108</f>
        <v>337500</v>
      </c>
      <c r="O107" s="199">
        <f>N107/J107*100</f>
        <v>8.333333333333332</v>
      </c>
      <c r="P107" s="91" t="s">
        <v>139</v>
      </c>
      <c r="Q107" s="91" t="s">
        <v>139</v>
      </c>
      <c r="R107" s="184">
        <f t="shared" si="27"/>
        <v>0</v>
      </c>
      <c r="S107" s="90">
        <f t="shared" si="27"/>
        <v>0</v>
      </c>
      <c r="T107" s="90">
        <f t="shared" si="27"/>
        <v>0</v>
      </c>
      <c r="U107" s="205">
        <f t="shared" si="28"/>
        <v>0</v>
      </c>
      <c r="V107" s="86">
        <f>V108</f>
        <v>4050000</v>
      </c>
      <c r="W107" s="189">
        <f t="shared" si="29"/>
        <v>100</v>
      </c>
      <c r="X107" s="29"/>
      <c r="Y107" s="41"/>
      <c r="Z107" s="45"/>
    </row>
    <row r="108" spans="1:26" s="44" customFormat="1" ht="12.75" customHeight="1">
      <c r="A108" s="27"/>
      <c r="B108" s="6" t="s">
        <v>148</v>
      </c>
      <c r="C108" s="35" t="s">
        <v>147</v>
      </c>
      <c r="D108" s="84" t="s">
        <v>76</v>
      </c>
      <c r="E108" s="84" t="s">
        <v>140</v>
      </c>
      <c r="F108" s="84" t="s">
        <v>75</v>
      </c>
      <c r="G108" s="87" t="s">
        <v>28</v>
      </c>
      <c r="H108" s="84" t="s">
        <v>5</v>
      </c>
      <c r="I108" s="27"/>
      <c r="J108" s="164">
        <v>4050000</v>
      </c>
      <c r="K108" s="27"/>
      <c r="L108" s="27"/>
      <c r="M108" s="27" t="s">
        <v>78</v>
      </c>
      <c r="N108" s="149">
        <v>337500</v>
      </c>
      <c r="O108" s="200">
        <f t="shared" si="26"/>
        <v>8.333333333333332</v>
      </c>
      <c r="P108" s="91" t="s">
        <v>139</v>
      </c>
      <c r="Q108" s="91" t="s">
        <v>139</v>
      </c>
      <c r="R108" s="182"/>
      <c r="S108" s="149"/>
      <c r="T108" s="149">
        <f>R108+S108</f>
        <v>0</v>
      </c>
      <c r="U108" s="205"/>
      <c r="V108" s="8">
        <f>J108-T108</f>
        <v>4050000</v>
      </c>
      <c r="W108" s="189">
        <f t="shared" si="29"/>
        <v>100</v>
      </c>
      <c r="X108" s="27"/>
      <c r="Y108" s="165"/>
      <c r="Z108" s="46"/>
    </row>
    <row r="109" spans="1:35" s="126" customFormat="1" ht="13.5" customHeight="1">
      <c r="A109" s="118"/>
      <c r="B109" s="119" t="s">
        <v>79</v>
      </c>
      <c r="C109" s="118"/>
      <c r="D109" s="118"/>
      <c r="E109" s="120"/>
      <c r="F109" s="120"/>
      <c r="G109" s="120"/>
      <c r="H109" s="120"/>
      <c r="I109" s="120"/>
      <c r="J109" s="121">
        <f>J110+J112</f>
        <v>169950000</v>
      </c>
      <c r="K109" s="120"/>
      <c r="L109" s="120"/>
      <c r="M109" s="120"/>
      <c r="N109" s="123">
        <f>N110+N112</f>
        <v>18000000</v>
      </c>
      <c r="O109" s="128">
        <f t="shared" si="26"/>
        <v>10.59135039717564</v>
      </c>
      <c r="P109" s="125"/>
      <c r="Q109" s="125"/>
      <c r="R109" s="124">
        <f>R110+R112</f>
        <v>0</v>
      </c>
      <c r="S109" s="124">
        <f>S110+S112</f>
        <v>0</v>
      </c>
      <c r="T109" s="124">
        <f>T110+T112</f>
        <v>0</v>
      </c>
      <c r="U109" s="215">
        <f t="shared" si="28"/>
        <v>0</v>
      </c>
      <c r="V109" s="125">
        <f>V110+V112</f>
        <v>169950000</v>
      </c>
      <c r="W109" s="189">
        <f t="shared" si="29"/>
        <v>100</v>
      </c>
      <c r="X109" s="125"/>
      <c r="Y109" s="106"/>
      <c r="Z109" s="45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s="26" customFormat="1" ht="13.5">
      <c r="A110" s="10"/>
      <c r="B110" s="95" t="s">
        <v>80</v>
      </c>
      <c r="C110" s="10" t="s">
        <v>114</v>
      </c>
      <c r="D110" s="102" t="s">
        <v>37</v>
      </c>
      <c r="E110" s="102" t="s">
        <v>140</v>
      </c>
      <c r="F110" s="84" t="s">
        <v>75</v>
      </c>
      <c r="G110" s="10" t="s">
        <v>28</v>
      </c>
      <c r="H110" s="102" t="s">
        <v>5</v>
      </c>
      <c r="I110" s="10" t="s">
        <v>28</v>
      </c>
      <c r="J110" s="98">
        <f>J111</f>
        <v>112500000</v>
      </c>
      <c r="K110" s="103"/>
      <c r="L110" s="104"/>
      <c r="M110" s="105"/>
      <c r="N110" s="110">
        <f>N111</f>
        <v>10000000</v>
      </c>
      <c r="O110" s="195">
        <f t="shared" si="26"/>
        <v>8.88888888888889</v>
      </c>
      <c r="P110" s="91" t="s">
        <v>139</v>
      </c>
      <c r="Q110" s="91" t="s">
        <v>139</v>
      </c>
      <c r="R110" s="89">
        <f>R111</f>
        <v>0</v>
      </c>
      <c r="S110" s="89">
        <f>S111</f>
        <v>0</v>
      </c>
      <c r="T110" s="89">
        <f>T111</f>
        <v>0</v>
      </c>
      <c r="U110" s="205">
        <f t="shared" si="28"/>
        <v>0</v>
      </c>
      <c r="V110" s="86">
        <f>V111</f>
        <v>112500000</v>
      </c>
      <c r="W110" s="189">
        <f t="shared" si="29"/>
        <v>100</v>
      </c>
      <c r="X110" s="105"/>
      <c r="Y110" s="106"/>
      <c r="Z110" s="45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s="25" customFormat="1" ht="13.5">
      <c r="A111" s="9"/>
      <c r="B111" s="74" t="s">
        <v>104</v>
      </c>
      <c r="C111" s="9" t="s">
        <v>131</v>
      </c>
      <c r="D111" s="5" t="s">
        <v>37</v>
      </c>
      <c r="E111" s="5" t="s">
        <v>140</v>
      </c>
      <c r="F111" s="84" t="s">
        <v>75</v>
      </c>
      <c r="G111" s="9" t="s">
        <v>28</v>
      </c>
      <c r="H111" s="5" t="s">
        <v>5</v>
      </c>
      <c r="I111" s="9"/>
      <c r="J111" s="11">
        <v>112500000</v>
      </c>
      <c r="K111" s="36"/>
      <c r="L111" s="37"/>
      <c r="M111" s="7" t="s">
        <v>78</v>
      </c>
      <c r="N111" s="112">
        <v>10000000</v>
      </c>
      <c r="O111" s="196">
        <f t="shared" si="26"/>
        <v>8.88888888888889</v>
      </c>
      <c r="P111" s="91" t="s">
        <v>139</v>
      </c>
      <c r="Q111" s="91" t="s">
        <v>139</v>
      </c>
      <c r="R111" s="88"/>
      <c r="S111" s="88"/>
      <c r="T111" s="88">
        <f>R111+S111</f>
        <v>0</v>
      </c>
      <c r="U111" s="205"/>
      <c r="V111" s="8">
        <f>J111-T111</f>
        <v>112500000</v>
      </c>
      <c r="W111" s="189">
        <f t="shared" si="29"/>
        <v>100</v>
      </c>
      <c r="X111" s="7"/>
      <c r="Y111" s="38"/>
      <c r="Z111" s="46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s="26" customFormat="1" ht="13.5">
      <c r="A112" s="10"/>
      <c r="B112" s="95" t="s">
        <v>105</v>
      </c>
      <c r="C112" s="10" t="s">
        <v>132</v>
      </c>
      <c r="D112" s="102" t="s">
        <v>37</v>
      </c>
      <c r="E112" s="102" t="s">
        <v>310</v>
      </c>
      <c r="F112" s="84" t="s">
        <v>75</v>
      </c>
      <c r="G112" s="10" t="s">
        <v>28</v>
      </c>
      <c r="H112" s="102" t="s">
        <v>5</v>
      </c>
      <c r="I112" s="10"/>
      <c r="J112" s="98">
        <f>J113</f>
        <v>57450000</v>
      </c>
      <c r="K112" s="103"/>
      <c r="L112" s="104"/>
      <c r="M112" s="105"/>
      <c r="N112" s="110">
        <f>N113</f>
        <v>8000000</v>
      </c>
      <c r="O112" s="195">
        <f t="shared" si="26"/>
        <v>13.92515230635335</v>
      </c>
      <c r="P112" s="91" t="s">
        <v>139</v>
      </c>
      <c r="Q112" s="91" t="s">
        <v>139</v>
      </c>
      <c r="R112" s="89">
        <f>R113</f>
        <v>0</v>
      </c>
      <c r="S112" s="89">
        <f>S113</f>
        <v>0</v>
      </c>
      <c r="T112" s="89">
        <f>T113</f>
        <v>0</v>
      </c>
      <c r="U112" s="205">
        <f t="shared" si="28"/>
        <v>0</v>
      </c>
      <c r="V112" s="86">
        <f>V113</f>
        <v>57450000</v>
      </c>
      <c r="W112" s="189">
        <f t="shared" si="29"/>
        <v>100</v>
      </c>
      <c r="X112" s="105"/>
      <c r="Y112" s="106"/>
      <c r="Z112" s="45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s="25" customFormat="1" ht="13.5">
      <c r="A113" s="9"/>
      <c r="B113" s="74" t="s">
        <v>246</v>
      </c>
      <c r="C113" s="9" t="s">
        <v>138</v>
      </c>
      <c r="D113" s="5" t="s">
        <v>37</v>
      </c>
      <c r="E113" s="5" t="s">
        <v>310</v>
      </c>
      <c r="F113" s="84" t="s">
        <v>75</v>
      </c>
      <c r="G113" s="9" t="s">
        <v>28</v>
      </c>
      <c r="H113" s="5" t="s">
        <v>5</v>
      </c>
      <c r="I113" s="9"/>
      <c r="J113" s="11">
        <v>57450000</v>
      </c>
      <c r="K113" s="36"/>
      <c r="L113" s="37"/>
      <c r="M113" s="7" t="s">
        <v>78</v>
      </c>
      <c r="N113" s="112">
        <v>8000000</v>
      </c>
      <c r="O113" s="196">
        <f t="shared" si="26"/>
        <v>13.92515230635335</v>
      </c>
      <c r="P113" s="91" t="s">
        <v>139</v>
      </c>
      <c r="Q113" s="91" t="s">
        <v>139</v>
      </c>
      <c r="R113" s="88"/>
      <c r="S113" s="88"/>
      <c r="T113" s="88">
        <f>R113+S113</f>
        <v>0</v>
      </c>
      <c r="U113" s="205"/>
      <c r="V113" s="8">
        <f>J113-T113</f>
        <v>57450000</v>
      </c>
      <c r="W113" s="189">
        <f>V113/J113*100</f>
        <v>100</v>
      </c>
      <c r="X113" s="7"/>
      <c r="Y113" s="38"/>
      <c r="Z113" s="46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s="140" customFormat="1" ht="27">
      <c r="A114" s="130">
        <v>2</v>
      </c>
      <c r="B114" s="143" t="s">
        <v>247</v>
      </c>
      <c r="C114" s="130" t="s">
        <v>77</v>
      </c>
      <c r="D114" s="132"/>
      <c r="E114" s="132"/>
      <c r="F114" s="132"/>
      <c r="G114" s="130"/>
      <c r="H114" s="132"/>
      <c r="I114" s="130"/>
      <c r="J114" s="133">
        <f>J115</f>
        <v>299750000</v>
      </c>
      <c r="K114" s="134"/>
      <c r="L114" s="135"/>
      <c r="M114" s="136"/>
      <c r="N114" s="137">
        <f>N115</f>
        <v>24979000</v>
      </c>
      <c r="O114" s="194">
        <f>N114/J114*100</f>
        <v>8.33327773144287</v>
      </c>
      <c r="P114" s="168"/>
      <c r="Q114" s="168"/>
      <c r="R114" s="138">
        <f>R115</f>
        <v>0</v>
      </c>
      <c r="S114" s="138">
        <f>S115</f>
        <v>0</v>
      </c>
      <c r="T114" s="138">
        <f>T115</f>
        <v>0</v>
      </c>
      <c r="U114" s="202">
        <f>T114/N114*100</f>
        <v>0</v>
      </c>
      <c r="V114" s="139">
        <f>V115</f>
        <v>299750000</v>
      </c>
      <c r="W114" s="187">
        <f>T114/J114*100</f>
        <v>0</v>
      </c>
      <c r="X114" s="139"/>
      <c r="Y114" s="106"/>
      <c r="Z114" s="45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s="126" customFormat="1" ht="13.5">
      <c r="A115" s="118"/>
      <c r="B115" s="129" t="s">
        <v>79</v>
      </c>
      <c r="C115" s="118"/>
      <c r="D115" s="120"/>
      <c r="E115" s="120"/>
      <c r="F115" s="120"/>
      <c r="G115" s="118"/>
      <c r="H115" s="120"/>
      <c r="I115" s="118"/>
      <c r="J115" s="121">
        <f>J116</f>
        <v>299750000</v>
      </c>
      <c r="K115" s="121"/>
      <c r="L115" s="121"/>
      <c r="M115" s="121"/>
      <c r="N115" s="121">
        <f aca="true" t="shared" si="30" ref="N115:W115">N116</f>
        <v>24979000</v>
      </c>
      <c r="O115" s="128">
        <f t="shared" si="26"/>
        <v>8.33327773144287</v>
      </c>
      <c r="P115" s="121" t="str">
        <f t="shared" si="30"/>
        <v>jan</v>
      </c>
      <c r="Q115" s="121" t="s">
        <v>139</v>
      </c>
      <c r="R115" s="123">
        <f t="shared" si="30"/>
        <v>0</v>
      </c>
      <c r="S115" s="123">
        <f t="shared" si="30"/>
        <v>0</v>
      </c>
      <c r="T115" s="123">
        <f t="shared" si="30"/>
        <v>0</v>
      </c>
      <c r="U115" s="121">
        <f>U116</f>
        <v>0</v>
      </c>
      <c r="V115" s="121">
        <f t="shared" si="30"/>
        <v>299750000</v>
      </c>
      <c r="W115" s="121">
        <f t="shared" si="30"/>
        <v>100</v>
      </c>
      <c r="X115" s="121"/>
      <c r="Y115" s="106"/>
      <c r="Z115" s="45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s="26" customFormat="1" ht="13.5">
      <c r="A116" s="10"/>
      <c r="B116" s="96" t="s">
        <v>93</v>
      </c>
      <c r="C116" s="10" t="s">
        <v>119</v>
      </c>
      <c r="D116" s="102" t="s">
        <v>37</v>
      </c>
      <c r="E116" s="102" t="s">
        <v>140</v>
      </c>
      <c r="F116" s="102" t="s">
        <v>75</v>
      </c>
      <c r="G116" s="10" t="s">
        <v>28</v>
      </c>
      <c r="H116" s="102" t="s">
        <v>5</v>
      </c>
      <c r="I116" s="10"/>
      <c r="J116" s="98">
        <f>J117</f>
        <v>299750000</v>
      </c>
      <c r="K116" s="103"/>
      <c r="L116" s="104"/>
      <c r="M116" s="105" t="s">
        <v>78</v>
      </c>
      <c r="N116" s="110">
        <f>N117</f>
        <v>24979000</v>
      </c>
      <c r="O116" s="195">
        <f t="shared" si="26"/>
        <v>8.33327773144287</v>
      </c>
      <c r="P116" s="170" t="s">
        <v>139</v>
      </c>
      <c r="Q116" s="170" t="s">
        <v>139</v>
      </c>
      <c r="R116" s="89">
        <f>R117</f>
        <v>0</v>
      </c>
      <c r="S116" s="89">
        <f>S117</f>
        <v>0</v>
      </c>
      <c r="T116" s="89">
        <f>T117</f>
        <v>0</v>
      </c>
      <c r="U116" s="204">
        <f>T116/N116*100</f>
        <v>0</v>
      </c>
      <c r="V116" s="86">
        <f>V117</f>
        <v>299750000</v>
      </c>
      <c r="W116" s="189">
        <f>V116/J116*100</f>
        <v>100</v>
      </c>
      <c r="X116" s="105"/>
      <c r="Y116" s="106"/>
      <c r="Z116" s="45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s="25" customFormat="1" ht="13.5">
      <c r="A117" s="9"/>
      <c r="B117" s="97" t="s">
        <v>202</v>
      </c>
      <c r="C117" s="9" t="s">
        <v>120</v>
      </c>
      <c r="D117" s="5" t="s">
        <v>37</v>
      </c>
      <c r="E117" s="5" t="s">
        <v>140</v>
      </c>
      <c r="F117" s="5" t="s">
        <v>75</v>
      </c>
      <c r="G117" s="9" t="s">
        <v>28</v>
      </c>
      <c r="H117" s="5" t="s">
        <v>5</v>
      </c>
      <c r="I117" s="9"/>
      <c r="J117" s="11">
        <v>299750000</v>
      </c>
      <c r="K117" s="36"/>
      <c r="L117" s="37"/>
      <c r="M117" s="7" t="s">
        <v>78</v>
      </c>
      <c r="N117" s="112">
        <v>24979000</v>
      </c>
      <c r="O117" s="196">
        <f t="shared" si="26"/>
        <v>8.33327773144287</v>
      </c>
      <c r="P117" s="91" t="s">
        <v>139</v>
      </c>
      <c r="Q117" s="91" t="s">
        <v>139</v>
      </c>
      <c r="R117" s="88"/>
      <c r="S117" s="88"/>
      <c r="T117" s="88">
        <f>R117+S117</f>
        <v>0</v>
      </c>
      <c r="U117" s="205">
        <f t="shared" si="28"/>
        <v>0</v>
      </c>
      <c r="V117" s="8">
        <f>J117-T117</f>
        <v>299750000</v>
      </c>
      <c r="W117" s="189">
        <f>V117/J117*100</f>
        <v>100</v>
      </c>
      <c r="X117" s="7"/>
      <c r="Y117" s="38"/>
      <c r="Z117" s="46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s="26" customFormat="1" ht="27">
      <c r="A118" s="130">
        <v>3</v>
      </c>
      <c r="B118" s="143" t="s">
        <v>248</v>
      </c>
      <c r="C118" s="130"/>
      <c r="D118" s="132"/>
      <c r="E118" s="132"/>
      <c r="F118" s="132"/>
      <c r="G118" s="130"/>
      <c r="H118" s="132"/>
      <c r="I118" s="130"/>
      <c r="J118" s="133">
        <f>J119</f>
        <v>2131739000</v>
      </c>
      <c r="K118" s="134"/>
      <c r="L118" s="135"/>
      <c r="M118" s="139"/>
      <c r="N118" s="137">
        <f>N119</f>
        <v>150000000</v>
      </c>
      <c r="O118" s="194"/>
      <c r="P118" s="168"/>
      <c r="Q118" s="168"/>
      <c r="R118" s="138"/>
      <c r="S118" s="138"/>
      <c r="T118" s="138"/>
      <c r="U118" s="202"/>
      <c r="V118" s="139">
        <f>V119</f>
        <v>2131739000</v>
      </c>
      <c r="W118" s="187"/>
      <c r="X118" s="139"/>
      <c r="Y118" s="106"/>
      <c r="Z118" s="45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s="26" customFormat="1" ht="13.5">
      <c r="A119" s="118"/>
      <c r="B119" s="129" t="s">
        <v>79</v>
      </c>
      <c r="C119" s="118"/>
      <c r="D119" s="120"/>
      <c r="E119" s="120"/>
      <c r="F119" s="120"/>
      <c r="G119" s="118"/>
      <c r="H119" s="120"/>
      <c r="I119" s="118"/>
      <c r="J119" s="121">
        <f>J120</f>
        <v>2131739000</v>
      </c>
      <c r="K119" s="121"/>
      <c r="L119" s="121"/>
      <c r="M119" s="121"/>
      <c r="N119" s="121">
        <f aca="true" t="shared" si="31" ref="N119:W119">N120</f>
        <v>150000000</v>
      </c>
      <c r="O119" s="121">
        <f t="shared" si="31"/>
        <v>7.036508690791885</v>
      </c>
      <c r="P119" s="121"/>
      <c r="Q119" s="121"/>
      <c r="R119" s="123">
        <f t="shared" si="31"/>
        <v>0</v>
      </c>
      <c r="S119" s="123">
        <f t="shared" si="31"/>
        <v>0</v>
      </c>
      <c r="T119" s="123">
        <f t="shared" si="31"/>
        <v>0</v>
      </c>
      <c r="U119" s="121">
        <f t="shared" si="31"/>
        <v>0</v>
      </c>
      <c r="V119" s="121">
        <f t="shared" si="31"/>
        <v>2131739000</v>
      </c>
      <c r="W119" s="121">
        <f t="shared" si="31"/>
        <v>100</v>
      </c>
      <c r="X119" s="121"/>
      <c r="Y119" s="106"/>
      <c r="Z119" s="45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5" customFormat="1" ht="13.5">
      <c r="A120" s="10"/>
      <c r="B120" s="96" t="s">
        <v>93</v>
      </c>
      <c r="C120" s="10" t="s">
        <v>119</v>
      </c>
      <c r="D120" s="102" t="s">
        <v>37</v>
      </c>
      <c r="E120" s="102" t="s">
        <v>140</v>
      </c>
      <c r="F120" s="102" t="s">
        <v>75</v>
      </c>
      <c r="G120" s="10" t="s">
        <v>28</v>
      </c>
      <c r="H120" s="102" t="s">
        <v>5</v>
      </c>
      <c r="I120" s="10"/>
      <c r="J120" s="98">
        <f>J121+J122</f>
        <v>2131739000</v>
      </c>
      <c r="K120" s="103"/>
      <c r="L120" s="104"/>
      <c r="M120" s="105"/>
      <c r="N120" s="110">
        <f>N121</f>
        <v>150000000</v>
      </c>
      <c r="O120" s="195">
        <f t="shared" si="26"/>
        <v>7.036508690791885</v>
      </c>
      <c r="P120" s="170" t="s">
        <v>139</v>
      </c>
      <c r="Q120" s="91" t="s">
        <v>139</v>
      </c>
      <c r="R120" s="89">
        <f>R121</f>
        <v>0</v>
      </c>
      <c r="S120" s="89">
        <f>S121</f>
        <v>0</v>
      </c>
      <c r="T120" s="89">
        <f>T121</f>
        <v>0</v>
      </c>
      <c r="U120" s="204">
        <f t="shared" si="28"/>
        <v>0</v>
      </c>
      <c r="V120" s="86">
        <f>V121+V122</f>
        <v>2131739000</v>
      </c>
      <c r="W120" s="189">
        <f aca="true" t="shared" si="32" ref="W120:W125">V120/J120*100</f>
        <v>100</v>
      </c>
      <c r="X120" s="105"/>
      <c r="Y120" s="38"/>
      <c r="Z120" s="46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s="25" customFormat="1" ht="13.5">
      <c r="A121" s="9"/>
      <c r="B121" s="247" t="s">
        <v>203</v>
      </c>
      <c r="C121" s="9" t="s">
        <v>121</v>
      </c>
      <c r="D121" s="5" t="s">
        <v>37</v>
      </c>
      <c r="E121" s="5" t="s">
        <v>140</v>
      </c>
      <c r="F121" s="5" t="s">
        <v>75</v>
      </c>
      <c r="G121" s="9" t="s">
        <v>28</v>
      </c>
      <c r="H121" s="5" t="s">
        <v>5</v>
      </c>
      <c r="I121" s="9"/>
      <c r="J121" s="11">
        <v>1711121000</v>
      </c>
      <c r="K121" s="36"/>
      <c r="L121" s="37"/>
      <c r="M121" s="7" t="s">
        <v>78</v>
      </c>
      <c r="N121" s="112">
        <v>150000000</v>
      </c>
      <c r="O121" s="196">
        <f t="shared" si="26"/>
        <v>8.766183104526213</v>
      </c>
      <c r="P121" s="91" t="s">
        <v>139</v>
      </c>
      <c r="Q121" s="91" t="s">
        <v>139</v>
      </c>
      <c r="R121" s="88"/>
      <c r="S121" s="88"/>
      <c r="T121" s="88">
        <f>R121+S121</f>
        <v>0</v>
      </c>
      <c r="U121" s="205">
        <f t="shared" si="28"/>
        <v>0</v>
      </c>
      <c r="V121" s="8">
        <f>J121-T121</f>
        <v>1711121000</v>
      </c>
      <c r="W121" s="189">
        <f t="shared" si="32"/>
        <v>100</v>
      </c>
      <c r="X121" s="7"/>
      <c r="Y121" s="38"/>
      <c r="Z121" s="46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s="25" customFormat="1" ht="13.5">
      <c r="A122" s="9"/>
      <c r="B122" s="247" t="s">
        <v>249</v>
      </c>
      <c r="C122" s="9" t="s">
        <v>250</v>
      </c>
      <c r="D122" s="5" t="s">
        <v>37</v>
      </c>
      <c r="E122" s="5" t="s">
        <v>308</v>
      </c>
      <c r="F122" s="5" t="s">
        <v>75</v>
      </c>
      <c r="G122" s="9" t="s">
        <v>28</v>
      </c>
      <c r="H122" s="5" t="s">
        <v>5</v>
      </c>
      <c r="I122" s="9"/>
      <c r="J122" s="11">
        <v>420618000</v>
      </c>
      <c r="K122" s="36"/>
      <c r="L122" s="37"/>
      <c r="M122" s="7" t="s">
        <v>78</v>
      </c>
      <c r="N122" s="112">
        <v>0</v>
      </c>
      <c r="O122" s="196"/>
      <c r="P122" s="91" t="s">
        <v>309</v>
      </c>
      <c r="Q122" s="91" t="s">
        <v>309</v>
      </c>
      <c r="R122" s="88"/>
      <c r="S122" s="88"/>
      <c r="T122" s="88"/>
      <c r="U122" s="205">
        <v>0</v>
      </c>
      <c r="V122" s="8">
        <f>J122-T122</f>
        <v>420618000</v>
      </c>
      <c r="W122" s="189">
        <f t="shared" si="32"/>
        <v>100</v>
      </c>
      <c r="X122" s="7"/>
      <c r="Y122" s="38"/>
      <c r="Z122" s="46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s="126" customFormat="1" ht="27">
      <c r="A123" s="132">
        <v>4</v>
      </c>
      <c r="B123" s="131" t="s">
        <v>251</v>
      </c>
      <c r="C123" s="130" t="s">
        <v>130</v>
      </c>
      <c r="D123" s="132"/>
      <c r="E123" s="132"/>
      <c r="F123" s="213"/>
      <c r="G123" s="130"/>
      <c r="H123" s="132"/>
      <c r="I123" s="132"/>
      <c r="J123" s="136">
        <f>J124+J140</f>
        <v>1454033600</v>
      </c>
      <c r="K123" s="136"/>
      <c r="L123" s="136"/>
      <c r="M123" s="136"/>
      <c r="N123" s="136">
        <f>N124+N140</f>
        <v>1294899600</v>
      </c>
      <c r="O123" s="136">
        <f>N123/J123*100</f>
        <v>89.05568619597236</v>
      </c>
      <c r="P123" s="136"/>
      <c r="Q123" s="136"/>
      <c r="R123" s="138">
        <f>R124+R140</f>
        <v>9000000</v>
      </c>
      <c r="S123" s="138">
        <f>S124+S140</f>
        <v>0</v>
      </c>
      <c r="T123" s="138">
        <f>T124+T140</f>
        <v>9000000</v>
      </c>
      <c r="U123" s="136">
        <f>T123/N123*100</f>
        <v>0.6950345802871513</v>
      </c>
      <c r="V123" s="136">
        <f>V124+V140</f>
        <v>1445033600</v>
      </c>
      <c r="W123" s="136">
        <f t="shared" si="32"/>
        <v>99.38103218522598</v>
      </c>
      <c r="X123" s="136"/>
      <c r="Y123" s="51"/>
      <c r="Z123" s="45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s="26" customFormat="1" ht="13.5">
      <c r="A124" s="120"/>
      <c r="B124" s="141" t="s">
        <v>79</v>
      </c>
      <c r="C124" s="118"/>
      <c r="D124" s="120"/>
      <c r="E124" s="120"/>
      <c r="F124" s="216"/>
      <c r="G124" s="118"/>
      <c r="H124" s="120"/>
      <c r="I124" s="120"/>
      <c r="J124" s="122">
        <f>J125+J129+J131+J133+J135+J137</f>
        <v>1424933600</v>
      </c>
      <c r="K124" s="122"/>
      <c r="L124" s="122"/>
      <c r="M124" s="122"/>
      <c r="N124" s="122">
        <f>N125+N129+N131+N133+N135+N137</f>
        <v>1265799600</v>
      </c>
      <c r="O124" s="122">
        <f>N124/J124*100</f>
        <v>88.83218137322328</v>
      </c>
      <c r="P124" s="122"/>
      <c r="Q124" s="122"/>
      <c r="R124" s="124">
        <f>R125+R129+R131+R133+R135+R137</f>
        <v>9000000</v>
      </c>
      <c r="S124" s="124">
        <f>S125+S129+S131+S133+S135+S137</f>
        <v>0</v>
      </c>
      <c r="T124" s="124">
        <f>T125+T129+T131+T133+T135+T137</f>
        <v>9000000</v>
      </c>
      <c r="U124" s="122">
        <f>T124/N124*100</f>
        <v>0.7110130229145276</v>
      </c>
      <c r="V124" s="122">
        <f>V125+V129+V131+V133+V135+V137</f>
        <v>1415933600</v>
      </c>
      <c r="W124" s="122">
        <f t="shared" si="32"/>
        <v>99.36839162189733</v>
      </c>
      <c r="X124" s="122"/>
      <c r="Y124" s="51"/>
      <c r="Z124" s="45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s="26" customFormat="1" ht="13.5">
      <c r="A125" s="107"/>
      <c r="B125" s="242" t="s">
        <v>252</v>
      </c>
      <c r="C125" s="108" t="s">
        <v>112</v>
      </c>
      <c r="D125" s="107" t="s">
        <v>76</v>
      </c>
      <c r="E125" s="107" t="s">
        <v>306</v>
      </c>
      <c r="F125" s="107" t="s">
        <v>75</v>
      </c>
      <c r="G125" s="10" t="s">
        <v>28</v>
      </c>
      <c r="H125" s="102" t="s">
        <v>5</v>
      </c>
      <c r="I125" s="107"/>
      <c r="J125" s="85">
        <f>SUM(J126:J128)</f>
        <v>202230200</v>
      </c>
      <c r="K125" s="85"/>
      <c r="L125" s="85"/>
      <c r="M125" s="85"/>
      <c r="N125" s="85">
        <f aca="true" t="shared" si="33" ref="N125:V125">SUM(N126:N128)</f>
        <v>164096200</v>
      </c>
      <c r="O125" s="85">
        <f>N125/J125*100</f>
        <v>81.14327138083233</v>
      </c>
      <c r="P125" s="170" t="s">
        <v>139</v>
      </c>
      <c r="Q125" s="170" t="s">
        <v>139</v>
      </c>
      <c r="R125" s="89">
        <f t="shared" si="33"/>
        <v>0</v>
      </c>
      <c r="S125" s="89">
        <f t="shared" si="33"/>
        <v>0</v>
      </c>
      <c r="T125" s="89">
        <f t="shared" si="33"/>
        <v>0</v>
      </c>
      <c r="U125" s="85">
        <f>T125/N125*100</f>
        <v>0</v>
      </c>
      <c r="V125" s="85">
        <f t="shared" si="33"/>
        <v>202230200</v>
      </c>
      <c r="W125" s="85">
        <f t="shared" si="32"/>
        <v>100</v>
      </c>
      <c r="X125" s="85"/>
      <c r="Y125" s="51"/>
      <c r="Z125" s="45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s="25" customFormat="1" ht="27">
      <c r="A126" s="84"/>
      <c r="B126" s="247" t="s">
        <v>253</v>
      </c>
      <c r="C126" s="87" t="s">
        <v>267</v>
      </c>
      <c r="D126" s="84" t="s">
        <v>76</v>
      </c>
      <c r="E126" s="84" t="s">
        <v>306</v>
      </c>
      <c r="F126" s="84" t="s">
        <v>75</v>
      </c>
      <c r="G126" s="9" t="s">
        <v>28</v>
      </c>
      <c r="H126" s="5" t="s">
        <v>5</v>
      </c>
      <c r="I126" s="84"/>
      <c r="J126" s="39">
        <v>85857000</v>
      </c>
      <c r="K126" s="39"/>
      <c r="L126" s="39"/>
      <c r="M126" s="7" t="s">
        <v>221</v>
      </c>
      <c r="N126" s="88">
        <v>85857000</v>
      </c>
      <c r="O126" s="39">
        <f aca="true" t="shared" si="34" ref="O126:O142">N126/J126*100</f>
        <v>100</v>
      </c>
      <c r="P126" s="91" t="s">
        <v>139</v>
      </c>
      <c r="Q126" s="91" t="s">
        <v>139</v>
      </c>
      <c r="R126" s="88"/>
      <c r="S126" s="88"/>
      <c r="T126" s="88"/>
      <c r="U126" s="39">
        <f>T126/N126*100</f>
        <v>0</v>
      </c>
      <c r="V126" s="8">
        <f>J126-T126</f>
        <v>85857000</v>
      </c>
      <c r="W126" s="39">
        <f aca="true" t="shared" si="35" ref="W126:W142">V126/J126*100</f>
        <v>100</v>
      </c>
      <c r="X126" s="39"/>
      <c r="Y126" s="166"/>
      <c r="Z126" s="46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s="25" customFormat="1" ht="13.5">
      <c r="A127" s="84"/>
      <c r="B127" s="247" t="s">
        <v>254</v>
      </c>
      <c r="C127" s="87" t="s">
        <v>109</v>
      </c>
      <c r="D127" s="84" t="s">
        <v>76</v>
      </c>
      <c r="E127" s="84" t="s">
        <v>306</v>
      </c>
      <c r="F127" s="84" t="s">
        <v>75</v>
      </c>
      <c r="G127" s="9" t="s">
        <v>28</v>
      </c>
      <c r="H127" s="5" t="s">
        <v>5</v>
      </c>
      <c r="I127" s="84"/>
      <c r="J127" s="39">
        <v>74773200</v>
      </c>
      <c r="K127" s="39"/>
      <c r="L127" s="39"/>
      <c r="M127" s="7" t="s">
        <v>221</v>
      </c>
      <c r="N127" s="88">
        <v>74773200</v>
      </c>
      <c r="O127" s="39">
        <f t="shared" si="34"/>
        <v>100</v>
      </c>
      <c r="P127" s="91" t="s">
        <v>139</v>
      </c>
      <c r="Q127" s="91" t="s">
        <v>139</v>
      </c>
      <c r="R127" s="88"/>
      <c r="S127" s="88"/>
      <c r="T127" s="88"/>
      <c r="U127" s="39">
        <f aca="true" t="shared" si="36" ref="U127:U142">T127/N127*100</f>
        <v>0</v>
      </c>
      <c r="V127" s="8">
        <f>J127-T127</f>
        <v>74773200</v>
      </c>
      <c r="W127" s="39">
        <f t="shared" si="35"/>
        <v>100</v>
      </c>
      <c r="X127" s="39"/>
      <c r="Y127" s="166"/>
      <c r="Z127" s="46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25" customFormat="1" ht="13.5">
      <c r="A128" s="84"/>
      <c r="B128" s="247" t="s">
        <v>255</v>
      </c>
      <c r="C128" s="87" t="s">
        <v>268</v>
      </c>
      <c r="D128" s="84" t="s">
        <v>76</v>
      </c>
      <c r="E128" s="84" t="s">
        <v>140</v>
      </c>
      <c r="F128" s="84" t="s">
        <v>75</v>
      </c>
      <c r="G128" s="9" t="s">
        <v>28</v>
      </c>
      <c r="H128" s="5" t="s">
        <v>5</v>
      </c>
      <c r="I128" s="84"/>
      <c r="J128" s="39">
        <v>41600000</v>
      </c>
      <c r="K128" s="39"/>
      <c r="L128" s="39"/>
      <c r="M128" s="7" t="s">
        <v>78</v>
      </c>
      <c r="N128" s="88">
        <v>3466000</v>
      </c>
      <c r="O128" s="39">
        <f t="shared" si="34"/>
        <v>8.331730769230768</v>
      </c>
      <c r="P128" s="91" t="s">
        <v>139</v>
      </c>
      <c r="Q128" s="91" t="s">
        <v>139</v>
      </c>
      <c r="R128" s="88"/>
      <c r="S128" s="88"/>
      <c r="T128" s="88"/>
      <c r="U128" s="39">
        <f t="shared" si="36"/>
        <v>0</v>
      </c>
      <c r="V128" s="8">
        <f>J128-T128</f>
        <v>41600000</v>
      </c>
      <c r="W128" s="39">
        <f t="shared" si="35"/>
        <v>100</v>
      </c>
      <c r="X128" s="39"/>
      <c r="Y128" s="166"/>
      <c r="Z128" s="46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26" customFormat="1" ht="13.5">
      <c r="A129" s="107"/>
      <c r="B129" s="242" t="s">
        <v>256</v>
      </c>
      <c r="C129" s="108" t="s">
        <v>269</v>
      </c>
      <c r="D129" s="107" t="s">
        <v>76</v>
      </c>
      <c r="E129" s="107" t="s">
        <v>306</v>
      </c>
      <c r="F129" s="107" t="s">
        <v>75</v>
      </c>
      <c r="G129" s="10" t="s">
        <v>28</v>
      </c>
      <c r="H129" s="102" t="s">
        <v>5</v>
      </c>
      <c r="I129" s="107"/>
      <c r="J129" s="85">
        <f>J130</f>
        <v>566600000</v>
      </c>
      <c r="K129" s="85"/>
      <c r="L129" s="85"/>
      <c r="M129" s="85"/>
      <c r="N129" s="85">
        <f aca="true" t="shared" si="37" ref="N129:V129">N130</f>
        <v>566600000</v>
      </c>
      <c r="O129" s="85">
        <f t="shared" si="34"/>
        <v>100</v>
      </c>
      <c r="P129" s="170" t="s">
        <v>139</v>
      </c>
      <c r="Q129" s="170" t="s">
        <v>139</v>
      </c>
      <c r="R129" s="89">
        <f t="shared" si="37"/>
        <v>0</v>
      </c>
      <c r="S129" s="89">
        <f t="shared" si="37"/>
        <v>0</v>
      </c>
      <c r="T129" s="89">
        <f t="shared" si="37"/>
        <v>0</v>
      </c>
      <c r="U129" s="85">
        <f>T129/N129*100</f>
        <v>0</v>
      </c>
      <c r="V129" s="85">
        <f t="shared" si="37"/>
        <v>566600000</v>
      </c>
      <c r="W129" s="85">
        <f t="shared" si="35"/>
        <v>100</v>
      </c>
      <c r="X129" s="85"/>
      <c r="Y129" s="51"/>
      <c r="Z129" s="45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s="25" customFormat="1" ht="13.5">
      <c r="A130" s="84"/>
      <c r="B130" s="247" t="s">
        <v>257</v>
      </c>
      <c r="C130" s="87" t="s">
        <v>270</v>
      </c>
      <c r="D130" s="84" t="s">
        <v>76</v>
      </c>
      <c r="E130" s="84" t="s">
        <v>306</v>
      </c>
      <c r="F130" s="84" t="s">
        <v>75</v>
      </c>
      <c r="G130" s="9" t="s">
        <v>28</v>
      </c>
      <c r="H130" s="5" t="s">
        <v>5</v>
      </c>
      <c r="I130" s="84"/>
      <c r="J130" s="39">
        <v>566600000</v>
      </c>
      <c r="K130" s="39"/>
      <c r="L130" s="39"/>
      <c r="M130" s="7" t="s">
        <v>78</v>
      </c>
      <c r="N130" s="88">
        <v>566600000</v>
      </c>
      <c r="O130" s="39">
        <f t="shared" si="34"/>
        <v>100</v>
      </c>
      <c r="P130" s="91" t="s">
        <v>139</v>
      </c>
      <c r="Q130" s="91" t="s">
        <v>139</v>
      </c>
      <c r="R130" s="88"/>
      <c r="S130" s="88"/>
      <c r="T130" s="88"/>
      <c r="U130" s="39">
        <f t="shared" si="36"/>
        <v>0</v>
      </c>
      <c r="V130" s="8">
        <f>J130-T130</f>
        <v>566600000</v>
      </c>
      <c r="W130" s="39">
        <f t="shared" si="35"/>
        <v>100</v>
      </c>
      <c r="X130" s="39"/>
      <c r="Y130" s="166"/>
      <c r="Z130" s="46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s="26" customFormat="1" ht="13.5">
      <c r="A131" s="107"/>
      <c r="B131" s="242" t="s">
        <v>106</v>
      </c>
      <c r="C131" s="108" t="s">
        <v>114</v>
      </c>
      <c r="D131" s="107" t="s">
        <v>76</v>
      </c>
      <c r="E131" s="107" t="s">
        <v>140</v>
      </c>
      <c r="F131" s="107" t="s">
        <v>75</v>
      </c>
      <c r="G131" s="10" t="s">
        <v>28</v>
      </c>
      <c r="H131" s="102" t="s">
        <v>5</v>
      </c>
      <c r="I131" s="107"/>
      <c r="J131" s="85">
        <f>J132</f>
        <v>24000000</v>
      </c>
      <c r="K131" s="85"/>
      <c r="L131" s="85"/>
      <c r="M131" s="85"/>
      <c r="N131" s="85">
        <f aca="true" t="shared" si="38" ref="N131:V131">N132</f>
        <v>2000000</v>
      </c>
      <c r="O131" s="85">
        <f t="shared" si="34"/>
        <v>8.333333333333332</v>
      </c>
      <c r="P131" s="170" t="s">
        <v>139</v>
      </c>
      <c r="Q131" s="170" t="s">
        <v>139</v>
      </c>
      <c r="R131" s="89">
        <f t="shared" si="38"/>
        <v>0</v>
      </c>
      <c r="S131" s="89">
        <f t="shared" si="38"/>
        <v>0</v>
      </c>
      <c r="T131" s="89">
        <f t="shared" si="38"/>
        <v>0</v>
      </c>
      <c r="U131" s="85">
        <f t="shared" si="36"/>
        <v>0</v>
      </c>
      <c r="V131" s="85">
        <f t="shared" si="38"/>
        <v>24000000</v>
      </c>
      <c r="W131" s="85">
        <f t="shared" si="35"/>
        <v>100</v>
      </c>
      <c r="X131" s="85"/>
      <c r="Y131" s="51"/>
      <c r="Z131" s="45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s="25" customFormat="1" ht="13.5">
      <c r="A132" s="84"/>
      <c r="B132" s="247" t="s">
        <v>258</v>
      </c>
      <c r="C132" s="87" t="s">
        <v>271</v>
      </c>
      <c r="D132" s="84" t="s">
        <v>76</v>
      </c>
      <c r="E132" s="84" t="s">
        <v>140</v>
      </c>
      <c r="F132" s="84" t="s">
        <v>75</v>
      </c>
      <c r="G132" s="9" t="s">
        <v>28</v>
      </c>
      <c r="H132" s="5" t="s">
        <v>5</v>
      </c>
      <c r="I132" s="84"/>
      <c r="J132" s="39">
        <v>24000000</v>
      </c>
      <c r="K132" s="39"/>
      <c r="L132" s="39"/>
      <c r="M132" s="7" t="s">
        <v>78</v>
      </c>
      <c r="N132" s="88">
        <v>2000000</v>
      </c>
      <c r="O132" s="39">
        <f t="shared" si="34"/>
        <v>8.333333333333332</v>
      </c>
      <c r="P132" s="91" t="s">
        <v>139</v>
      </c>
      <c r="Q132" s="91" t="s">
        <v>139</v>
      </c>
      <c r="R132" s="88"/>
      <c r="S132" s="88"/>
      <c r="T132" s="88"/>
      <c r="U132" s="39">
        <f>T132/N132*100</f>
        <v>0</v>
      </c>
      <c r="V132" s="8">
        <f>J132-T132</f>
        <v>24000000</v>
      </c>
      <c r="W132" s="39">
        <f t="shared" si="35"/>
        <v>100</v>
      </c>
      <c r="X132" s="39"/>
      <c r="Y132" s="166"/>
      <c r="Z132" s="46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26" customFormat="1" ht="13.5">
      <c r="A133" s="107"/>
      <c r="B133" s="242" t="s">
        <v>259</v>
      </c>
      <c r="C133" s="108" t="s">
        <v>132</v>
      </c>
      <c r="D133" s="107" t="s">
        <v>76</v>
      </c>
      <c r="E133" s="107" t="s">
        <v>306</v>
      </c>
      <c r="F133" s="107" t="s">
        <v>75</v>
      </c>
      <c r="G133" s="10" t="s">
        <v>28</v>
      </c>
      <c r="H133" s="102" t="s">
        <v>5</v>
      </c>
      <c r="I133" s="107"/>
      <c r="J133" s="85">
        <f>J134</f>
        <v>477000000</v>
      </c>
      <c r="K133" s="85"/>
      <c r="L133" s="85"/>
      <c r="M133" s="85"/>
      <c r="N133" s="85">
        <f aca="true" t="shared" si="39" ref="N133:V133">N134</f>
        <v>477000000</v>
      </c>
      <c r="O133" s="85">
        <f t="shared" si="34"/>
        <v>100</v>
      </c>
      <c r="P133" s="170" t="s">
        <v>139</v>
      </c>
      <c r="Q133" s="170" t="s">
        <v>139</v>
      </c>
      <c r="R133" s="89">
        <f t="shared" si="39"/>
        <v>0</v>
      </c>
      <c r="S133" s="89">
        <f t="shared" si="39"/>
        <v>0</v>
      </c>
      <c r="T133" s="89">
        <f t="shared" si="39"/>
        <v>0</v>
      </c>
      <c r="U133" s="85">
        <f t="shared" si="36"/>
        <v>0</v>
      </c>
      <c r="V133" s="85">
        <f t="shared" si="39"/>
        <v>477000000</v>
      </c>
      <c r="W133" s="85">
        <f t="shared" si="35"/>
        <v>100</v>
      </c>
      <c r="X133" s="85"/>
      <c r="Y133" s="51"/>
      <c r="Z133" s="45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s="25" customFormat="1" ht="13.5">
      <c r="A134" s="84"/>
      <c r="B134" s="247" t="s">
        <v>260</v>
      </c>
      <c r="C134" s="87" t="s">
        <v>133</v>
      </c>
      <c r="D134" s="84" t="s">
        <v>76</v>
      </c>
      <c r="E134" s="84" t="s">
        <v>306</v>
      </c>
      <c r="F134" s="84" t="s">
        <v>75</v>
      </c>
      <c r="G134" s="9" t="s">
        <v>28</v>
      </c>
      <c r="H134" s="5" t="s">
        <v>5</v>
      </c>
      <c r="I134" s="84"/>
      <c r="J134" s="39">
        <v>477000000</v>
      </c>
      <c r="K134" s="39"/>
      <c r="L134" s="39"/>
      <c r="M134" s="7" t="s">
        <v>78</v>
      </c>
      <c r="N134" s="88">
        <v>477000000</v>
      </c>
      <c r="O134" s="39">
        <f t="shared" si="34"/>
        <v>100</v>
      </c>
      <c r="P134" s="91" t="s">
        <v>139</v>
      </c>
      <c r="Q134" s="91" t="s">
        <v>139</v>
      </c>
      <c r="R134" s="88"/>
      <c r="S134" s="88"/>
      <c r="T134" s="88"/>
      <c r="U134" s="39">
        <f t="shared" si="36"/>
        <v>0</v>
      </c>
      <c r="V134" s="8">
        <f>J134-T134</f>
        <v>477000000</v>
      </c>
      <c r="W134" s="39">
        <f t="shared" si="35"/>
        <v>100</v>
      </c>
      <c r="X134" s="39"/>
      <c r="Y134" s="166"/>
      <c r="Z134" s="46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26" customFormat="1" ht="13.5">
      <c r="A135" s="107"/>
      <c r="B135" s="242" t="s">
        <v>204</v>
      </c>
      <c r="C135" s="108" t="s">
        <v>122</v>
      </c>
      <c r="D135" s="107" t="s">
        <v>76</v>
      </c>
      <c r="E135" s="107" t="s">
        <v>140</v>
      </c>
      <c r="F135" s="107" t="s">
        <v>75</v>
      </c>
      <c r="G135" s="10" t="s">
        <v>28</v>
      </c>
      <c r="H135" s="102" t="s">
        <v>5</v>
      </c>
      <c r="I135" s="107"/>
      <c r="J135" s="85">
        <f>J136</f>
        <v>108000000</v>
      </c>
      <c r="K135" s="85"/>
      <c r="L135" s="85"/>
      <c r="M135" s="85"/>
      <c r="N135" s="85">
        <f aca="true" t="shared" si="40" ref="N135:V135">N136</f>
        <v>9000000</v>
      </c>
      <c r="O135" s="85">
        <f t="shared" si="34"/>
        <v>8.333333333333332</v>
      </c>
      <c r="P135" s="170" t="s">
        <v>139</v>
      </c>
      <c r="Q135" s="170" t="s">
        <v>139</v>
      </c>
      <c r="R135" s="89">
        <f t="shared" si="40"/>
        <v>9000000</v>
      </c>
      <c r="S135" s="89">
        <f t="shared" si="40"/>
        <v>0</v>
      </c>
      <c r="T135" s="89">
        <f t="shared" si="40"/>
        <v>9000000</v>
      </c>
      <c r="U135" s="85">
        <f t="shared" si="36"/>
        <v>100</v>
      </c>
      <c r="V135" s="85">
        <f t="shared" si="40"/>
        <v>99000000</v>
      </c>
      <c r="W135" s="85">
        <f t="shared" si="35"/>
        <v>91.66666666666666</v>
      </c>
      <c r="X135" s="85"/>
      <c r="Y135" s="51"/>
      <c r="Z135" s="45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s="25" customFormat="1" ht="13.5">
      <c r="A136" s="84"/>
      <c r="B136" s="247" t="s">
        <v>205</v>
      </c>
      <c r="C136" s="87" t="s">
        <v>123</v>
      </c>
      <c r="D136" s="84" t="s">
        <v>76</v>
      </c>
      <c r="E136" s="84" t="s">
        <v>140</v>
      </c>
      <c r="F136" s="84" t="s">
        <v>75</v>
      </c>
      <c r="G136" s="9" t="s">
        <v>28</v>
      </c>
      <c r="H136" s="5" t="s">
        <v>5</v>
      </c>
      <c r="I136" s="84"/>
      <c r="J136" s="39">
        <v>108000000</v>
      </c>
      <c r="K136" s="39"/>
      <c r="L136" s="39"/>
      <c r="M136" s="7" t="s">
        <v>78</v>
      </c>
      <c r="N136" s="88">
        <v>9000000</v>
      </c>
      <c r="O136" s="39">
        <f t="shared" si="34"/>
        <v>8.333333333333332</v>
      </c>
      <c r="P136" s="91" t="s">
        <v>139</v>
      </c>
      <c r="Q136" s="91" t="s">
        <v>139</v>
      </c>
      <c r="R136" s="88">
        <v>9000000</v>
      </c>
      <c r="S136" s="88"/>
      <c r="T136" s="88">
        <f>R136+S136</f>
        <v>9000000</v>
      </c>
      <c r="U136" s="39">
        <f t="shared" si="36"/>
        <v>100</v>
      </c>
      <c r="V136" s="8">
        <f>J136-T136</f>
        <v>99000000</v>
      </c>
      <c r="W136" s="39">
        <f t="shared" si="35"/>
        <v>91.66666666666666</v>
      </c>
      <c r="X136" s="39"/>
      <c r="Y136" s="166"/>
      <c r="Z136" s="46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26" customFormat="1" ht="13.5">
      <c r="A137" s="107"/>
      <c r="B137" s="242" t="s">
        <v>261</v>
      </c>
      <c r="C137" s="108" t="s">
        <v>272</v>
      </c>
      <c r="D137" s="107" t="s">
        <v>76</v>
      </c>
      <c r="E137" s="107" t="s">
        <v>306</v>
      </c>
      <c r="F137" s="107" t="s">
        <v>75</v>
      </c>
      <c r="G137" s="10" t="s">
        <v>28</v>
      </c>
      <c r="H137" s="102" t="s">
        <v>5</v>
      </c>
      <c r="I137" s="107"/>
      <c r="J137" s="85">
        <f>SUM(J138:J139)</f>
        <v>47103400</v>
      </c>
      <c r="K137" s="85"/>
      <c r="L137" s="85"/>
      <c r="M137" s="85"/>
      <c r="N137" s="85">
        <f aca="true" t="shared" si="41" ref="N137:V137">SUM(N138:N139)</f>
        <v>47103400</v>
      </c>
      <c r="O137" s="85">
        <f t="shared" si="34"/>
        <v>100</v>
      </c>
      <c r="P137" s="170" t="s">
        <v>139</v>
      </c>
      <c r="Q137" s="170" t="s">
        <v>139</v>
      </c>
      <c r="R137" s="89">
        <f t="shared" si="41"/>
        <v>0</v>
      </c>
      <c r="S137" s="89">
        <f t="shared" si="41"/>
        <v>0</v>
      </c>
      <c r="T137" s="89">
        <f>SUM(T138:T139)</f>
        <v>0</v>
      </c>
      <c r="U137" s="85">
        <f t="shared" si="36"/>
        <v>0</v>
      </c>
      <c r="V137" s="85">
        <f t="shared" si="41"/>
        <v>47103400</v>
      </c>
      <c r="W137" s="85">
        <f t="shared" si="35"/>
        <v>100</v>
      </c>
      <c r="X137" s="85"/>
      <c r="Y137" s="51"/>
      <c r="Z137" s="45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s="25" customFormat="1" ht="13.5">
      <c r="A138" s="84"/>
      <c r="B138" s="247" t="s">
        <v>262</v>
      </c>
      <c r="C138" s="87" t="s">
        <v>273</v>
      </c>
      <c r="D138" s="84" t="s">
        <v>76</v>
      </c>
      <c r="E138" s="84" t="s">
        <v>306</v>
      </c>
      <c r="F138" s="84" t="s">
        <v>75</v>
      </c>
      <c r="G138" s="9" t="s">
        <v>28</v>
      </c>
      <c r="H138" s="5" t="s">
        <v>5</v>
      </c>
      <c r="I138" s="84"/>
      <c r="J138" s="39">
        <v>10200000</v>
      </c>
      <c r="K138" s="39"/>
      <c r="L138" s="39"/>
      <c r="M138" s="7" t="s">
        <v>221</v>
      </c>
      <c r="N138" s="88">
        <v>10200000</v>
      </c>
      <c r="O138" s="39">
        <f t="shared" si="34"/>
        <v>100</v>
      </c>
      <c r="P138" s="91" t="s">
        <v>139</v>
      </c>
      <c r="Q138" s="91" t="s">
        <v>139</v>
      </c>
      <c r="R138" s="88"/>
      <c r="S138" s="88"/>
      <c r="T138" s="88"/>
      <c r="U138" s="39">
        <f t="shared" si="36"/>
        <v>0</v>
      </c>
      <c r="V138" s="8">
        <f>J138-T138</f>
        <v>10200000</v>
      </c>
      <c r="W138" s="39">
        <f t="shared" si="35"/>
        <v>100</v>
      </c>
      <c r="X138" s="39"/>
      <c r="Y138" s="166"/>
      <c r="Z138" s="46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25" customFormat="1" ht="13.5">
      <c r="A139" s="84"/>
      <c r="B139" s="247" t="s">
        <v>263</v>
      </c>
      <c r="C139" s="87" t="s">
        <v>274</v>
      </c>
      <c r="D139" s="84" t="s">
        <v>76</v>
      </c>
      <c r="E139" s="84" t="s">
        <v>306</v>
      </c>
      <c r="F139" s="84" t="s">
        <v>75</v>
      </c>
      <c r="G139" s="9" t="s">
        <v>28</v>
      </c>
      <c r="H139" s="5" t="s">
        <v>5</v>
      </c>
      <c r="I139" s="84"/>
      <c r="J139" s="39">
        <v>36903400</v>
      </c>
      <c r="K139" s="39"/>
      <c r="L139" s="39"/>
      <c r="M139" s="7" t="s">
        <v>221</v>
      </c>
      <c r="N139" s="88">
        <v>36903400</v>
      </c>
      <c r="O139" s="39">
        <f t="shared" si="34"/>
        <v>100</v>
      </c>
      <c r="P139" s="91" t="s">
        <v>139</v>
      </c>
      <c r="Q139" s="91" t="s">
        <v>139</v>
      </c>
      <c r="R139" s="88"/>
      <c r="S139" s="88"/>
      <c r="T139" s="88"/>
      <c r="U139" s="39">
        <f t="shared" si="36"/>
        <v>0</v>
      </c>
      <c r="V139" s="8">
        <f>J139-T139</f>
        <v>36903400</v>
      </c>
      <c r="W139" s="39">
        <f t="shared" si="35"/>
        <v>100</v>
      </c>
      <c r="X139" s="39"/>
      <c r="Y139" s="166"/>
      <c r="Z139" s="46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26" customFormat="1" ht="13.5">
      <c r="A140" s="120"/>
      <c r="B140" s="271" t="s">
        <v>264</v>
      </c>
      <c r="C140" s="118"/>
      <c r="D140" s="120"/>
      <c r="E140" s="120"/>
      <c r="F140" s="120"/>
      <c r="G140" s="118"/>
      <c r="H140" s="120"/>
      <c r="I140" s="120"/>
      <c r="J140" s="122">
        <f>J141</f>
        <v>29100000</v>
      </c>
      <c r="K140" s="122"/>
      <c r="L140" s="122"/>
      <c r="M140" s="125"/>
      <c r="N140" s="124">
        <f>N141</f>
        <v>29100000</v>
      </c>
      <c r="O140" s="128"/>
      <c r="P140" s="169"/>
      <c r="Q140" s="169"/>
      <c r="R140" s="124"/>
      <c r="S140" s="124"/>
      <c r="T140" s="124"/>
      <c r="U140" s="150"/>
      <c r="V140" s="125">
        <f>V141</f>
        <v>29100000</v>
      </c>
      <c r="W140" s="150"/>
      <c r="X140" s="122"/>
      <c r="Y140" s="51"/>
      <c r="Z140" s="45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s="26" customFormat="1" ht="13.5">
      <c r="A141" s="107"/>
      <c r="B141" s="242" t="s">
        <v>265</v>
      </c>
      <c r="C141" s="108" t="s">
        <v>275</v>
      </c>
      <c r="D141" s="107" t="s">
        <v>76</v>
      </c>
      <c r="E141" s="107" t="s">
        <v>306</v>
      </c>
      <c r="F141" s="107" t="s">
        <v>75</v>
      </c>
      <c r="G141" s="10" t="s">
        <v>28</v>
      </c>
      <c r="H141" s="102" t="s">
        <v>5</v>
      </c>
      <c r="I141" s="107"/>
      <c r="J141" s="85">
        <f>J142</f>
        <v>29100000</v>
      </c>
      <c r="K141" s="85"/>
      <c r="L141" s="85"/>
      <c r="M141" s="105"/>
      <c r="N141" s="89">
        <f>N142</f>
        <v>29100000</v>
      </c>
      <c r="O141" s="85">
        <f t="shared" si="34"/>
        <v>100</v>
      </c>
      <c r="P141" s="170" t="s">
        <v>139</v>
      </c>
      <c r="Q141" s="170" t="s">
        <v>139</v>
      </c>
      <c r="R141" s="89"/>
      <c r="S141" s="89"/>
      <c r="T141" s="89"/>
      <c r="U141" s="85">
        <f t="shared" si="36"/>
        <v>0</v>
      </c>
      <c r="V141" s="86">
        <f>V142</f>
        <v>29100000</v>
      </c>
      <c r="W141" s="85">
        <f t="shared" si="35"/>
        <v>100</v>
      </c>
      <c r="X141" s="85"/>
      <c r="Y141" s="51"/>
      <c r="Z141" s="45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s="25" customFormat="1" ht="13.5">
      <c r="A142" s="84"/>
      <c r="B142" s="247" t="s">
        <v>266</v>
      </c>
      <c r="C142" s="87" t="s">
        <v>120</v>
      </c>
      <c r="D142" s="84" t="s">
        <v>76</v>
      </c>
      <c r="E142" s="84" t="s">
        <v>306</v>
      </c>
      <c r="F142" s="84" t="s">
        <v>75</v>
      </c>
      <c r="G142" s="9" t="s">
        <v>28</v>
      </c>
      <c r="H142" s="5" t="s">
        <v>5</v>
      </c>
      <c r="I142" s="84"/>
      <c r="J142" s="39">
        <v>29100000</v>
      </c>
      <c r="K142" s="39"/>
      <c r="L142" s="39"/>
      <c r="M142" s="7" t="s">
        <v>221</v>
      </c>
      <c r="N142" s="88">
        <v>29100000</v>
      </c>
      <c r="O142" s="39">
        <f t="shared" si="34"/>
        <v>100</v>
      </c>
      <c r="P142" s="91" t="s">
        <v>139</v>
      </c>
      <c r="Q142" s="91" t="s">
        <v>139</v>
      </c>
      <c r="R142" s="88"/>
      <c r="S142" s="88"/>
      <c r="T142" s="88"/>
      <c r="U142" s="39">
        <f t="shared" si="36"/>
        <v>0</v>
      </c>
      <c r="V142" s="8">
        <f>J142-T142</f>
        <v>29100000</v>
      </c>
      <c r="W142" s="39">
        <f t="shared" si="35"/>
        <v>100</v>
      </c>
      <c r="X142" s="39"/>
      <c r="Y142" s="166"/>
      <c r="Z142" s="46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26" customFormat="1" ht="27">
      <c r="A143" s="220">
        <v>5</v>
      </c>
      <c r="B143" s="272" t="s">
        <v>276</v>
      </c>
      <c r="C143" s="221"/>
      <c r="D143" s="220"/>
      <c r="E143" s="220"/>
      <c r="F143" s="220"/>
      <c r="G143" s="221"/>
      <c r="H143" s="220"/>
      <c r="I143" s="220"/>
      <c r="J143" s="222">
        <f>J144+J161</f>
        <v>138531800</v>
      </c>
      <c r="K143" s="222"/>
      <c r="L143" s="222"/>
      <c r="M143" s="222"/>
      <c r="N143" s="222">
        <f aca="true" t="shared" si="42" ref="N143:V143">N144+N161</f>
        <v>0</v>
      </c>
      <c r="O143" s="222">
        <f>N143/J143*100</f>
        <v>0</v>
      </c>
      <c r="P143" s="222"/>
      <c r="Q143" s="222"/>
      <c r="R143" s="279">
        <f t="shared" si="42"/>
        <v>0</v>
      </c>
      <c r="S143" s="279">
        <f t="shared" si="42"/>
        <v>0</v>
      </c>
      <c r="T143" s="279">
        <f t="shared" si="42"/>
        <v>0</v>
      </c>
      <c r="U143" s="222">
        <f t="shared" si="42"/>
        <v>0</v>
      </c>
      <c r="V143" s="222">
        <f t="shared" si="42"/>
        <v>138531800</v>
      </c>
      <c r="W143" s="222">
        <f>V143/J143*100</f>
        <v>100</v>
      </c>
      <c r="X143" s="222"/>
      <c r="Y143" s="51"/>
      <c r="Z143" s="45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s="26" customFormat="1" ht="13.5">
      <c r="A144" s="120"/>
      <c r="B144" s="271" t="s">
        <v>79</v>
      </c>
      <c r="C144" s="118"/>
      <c r="D144" s="120"/>
      <c r="E144" s="120"/>
      <c r="F144" s="120"/>
      <c r="G144" s="118"/>
      <c r="H144" s="120"/>
      <c r="I144" s="120"/>
      <c r="J144" s="122">
        <f>J145+J147+J153+J155+J157+J159</f>
        <v>67281800</v>
      </c>
      <c r="K144" s="122"/>
      <c r="L144" s="122"/>
      <c r="M144" s="122"/>
      <c r="N144" s="122">
        <f aca="true" t="shared" si="43" ref="N144:V144">N145+N147+N153+N155+N157+N159</f>
        <v>0</v>
      </c>
      <c r="O144" s="122">
        <f>N144/J144*100</f>
        <v>0</v>
      </c>
      <c r="P144" s="122"/>
      <c r="Q144" s="122"/>
      <c r="R144" s="124">
        <f t="shared" si="43"/>
        <v>0</v>
      </c>
      <c r="S144" s="124">
        <f t="shared" si="43"/>
        <v>0</v>
      </c>
      <c r="T144" s="124">
        <f t="shared" si="43"/>
        <v>0</v>
      </c>
      <c r="U144" s="122">
        <f t="shared" si="43"/>
        <v>0</v>
      </c>
      <c r="V144" s="122">
        <f t="shared" si="43"/>
        <v>67281800</v>
      </c>
      <c r="W144" s="122">
        <f>V144/J144*100</f>
        <v>100</v>
      </c>
      <c r="X144" s="122"/>
      <c r="Y144" s="51"/>
      <c r="Z144" s="45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s="26" customFormat="1" ht="13.5">
      <c r="A145" s="107"/>
      <c r="B145" s="242" t="s">
        <v>256</v>
      </c>
      <c r="C145" s="108" t="s">
        <v>269</v>
      </c>
      <c r="D145" s="107" t="s">
        <v>76</v>
      </c>
      <c r="E145" s="107" t="s">
        <v>306</v>
      </c>
      <c r="F145" s="107" t="s">
        <v>75</v>
      </c>
      <c r="G145" s="10" t="s">
        <v>28</v>
      </c>
      <c r="H145" s="102" t="s">
        <v>5</v>
      </c>
      <c r="I145" s="107"/>
      <c r="J145" s="243">
        <f aca="true" t="shared" si="44" ref="J145:X145">J146</f>
        <v>2271800</v>
      </c>
      <c r="K145" s="243">
        <f t="shared" si="44"/>
        <v>0</v>
      </c>
      <c r="L145" s="243">
        <f t="shared" si="44"/>
        <v>0</v>
      </c>
      <c r="M145" s="243"/>
      <c r="N145" s="243">
        <f t="shared" si="44"/>
        <v>0</v>
      </c>
      <c r="O145" s="243">
        <f>N145/J145*100</f>
        <v>0</v>
      </c>
      <c r="P145" s="243" t="str">
        <f t="shared" si="44"/>
        <v>feb</v>
      </c>
      <c r="Q145" s="243" t="str">
        <f t="shared" si="44"/>
        <v>feb</v>
      </c>
      <c r="R145" s="243">
        <f t="shared" si="44"/>
        <v>0</v>
      </c>
      <c r="S145" s="243">
        <f t="shared" si="44"/>
        <v>0</v>
      </c>
      <c r="T145" s="243">
        <f t="shared" si="44"/>
        <v>0</v>
      </c>
      <c r="U145" s="243">
        <f t="shared" si="44"/>
        <v>0</v>
      </c>
      <c r="V145" s="243">
        <f t="shared" si="44"/>
        <v>2271800</v>
      </c>
      <c r="W145" s="243">
        <f t="shared" si="44"/>
        <v>100</v>
      </c>
      <c r="X145" s="243">
        <f t="shared" si="44"/>
        <v>0</v>
      </c>
      <c r="Y145" s="51"/>
      <c r="Z145" s="45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s="25" customFormat="1" ht="27">
      <c r="A146" s="84"/>
      <c r="B146" s="247" t="s">
        <v>277</v>
      </c>
      <c r="C146" s="87" t="s">
        <v>289</v>
      </c>
      <c r="D146" s="84" t="s">
        <v>76</v>
      </c>
      <c r="E146" s="84" t="s">
        <v>306</v>
      </c>
      <c r="F146" s="84" t="s">
        <v>75</v>
      </c>
      <c r="G146" s="9" t="s">
        <v>28</v>
      </c>
      <c r="H146" s="5" t="s">
        <v>5</v>
      </c>
      <c r="I146" s="84"/>
      <c r="J146" s="248">
        <v>2271800</v>
      </c>
      <c r="K146" s="39"/>
      <c r="L146" s="39"/>
      <c r="M146" s="7" t="s">
        <v>221</v>
      </c>
      <c r="N146" s="88"/>
      <c r="O146" s="243">
        <f aca="true" t="shared" si="45" ref="O146:O163">N146/J146*100</f>
        <v>0</v>
      </c>
      <c r="P146" s="91" t="s">
        <v>141</v>
      </c>
      <c r="Q146" s="91" t="s">
        <v>141</v>
      </c>
      <c r="R146" s="88"/>
      <c r="S146" s="88"/>
      <c r="T146" s="88">
        <f aca="true" t="shared" si="46" ref="T146:T163">R146+S146</f>
        <v>0</v>
      </c>
      <c r="U146" s="39"/>
      <c r="V146" s="8">
        <f aca="true" t="shared" si="47" ref="V146:V163">J146-T146</f>
        <v>2271800</v>
      </c>
      <c r="W146" s="39">
        <f aca="true" t="shared" si="48" ref="W146:W163">V146/J146*100</f>
        <v>100</v>
      </c>
      <c r="X146" s="39"/>
      <c r="Y146" s="166"/>
      <c r="Z146" s="46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26" customFormat="1" ht="13.5">
      <c r="A147" s="107"/>
      <c r="B147" s="242" t="s">
        <v>106</v>
      </c>
      <c r="C147" s="108" t="s">
        <v>114</v>
      </c>
      <c r="D147" s="107" t="s">
        <v>76</v>
      </c>
      <c r="E147" s="107" t="s">
        <v>306</v>
      </c>
      <c r="F147" s="107" t="s">
        <v>75</v>
      </c>
      <c r="G147" s="10" t="s">
        <v>28</v>
      </c>
      <c r="H147" s="102" t="s">
        <v>5</v>
      </c>
      <c r="I147" s="107"/>
      <c r="J147" s="243">
        <f>SUM(J148:J152)</f>
        <v>17550000</v>
      </c>
      <c r="K147" s="243">
        <f aca="true" t="shared" si="49" ref="K147:X147">SUM(K148:K152)</f>
        <v>0</v>
      </c>
      <c r="L147" s="243">
        <f t="shared" si="49"/>
        <v>0</v>
      </c>
      <c r="M147" s="243">
        <f t="shared" si="49"/>
        <v>0</v>
      </c>
      <c r="N147" s="243">
        <f t="shared" si="49"/>
        <v>0</v>
      </c>
      <c r="O147" s="243">
        <f t="shared" si="45"/>
        <v>0</v>
      </c>
      <c r="P147" s="243">
        <f t="shared" si="49"/>
        <v>0</v>
      </c>
      <c r="Q147" s="243">
        <f t="shared" si="49"/>
        <v>0</v>
      </c>
      <c r="R147" s="243">
        <f t="shared" si="49"/>
        <v>0</v>
      </c>
      <c r="S147" s="243">
        <f t="shared" si="49"/>
        <v>0</v>
      </c>
      <c r="T147" s="243">
        <f t="shared" si="49"/>
        <v>0</v>
      </c>
      <c r="U147" s="243">
        <f t="shared" si="49"/>
        <v>0</v>
      </c>
      <c r="V147" s="243">
        <f t="shared" si="49"/>
        <v>17550000</v>
      </c>
      <c r="W147" s="243">
        <f>V147/J147*100</f>
        <v>100</v>
      </c>
      <c r="X147" s="243">
        <f t="shared" si="49"/>
        <v>0</v>
      </c>
      <c r="Y147" s="51"/>
      <c r="Z147" s="45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s="25" customFormat="1" ht="13.5">
      <c r="A148" s="84"/>
      <c r="B148" s="247" t="s">
        <v>278</v>
      </c>
      <c r="C148" s="87" t="s">
        <v>135</v>
      </c>
      <c r="D148" s="84" t="s">
        <v>76</v>
      </c>
      <c r="E148" s="84" t="s">
        <v>306</v>
      </c>
      <c r="F148" s="84" t="s">
        <v>75</v>
      </c>
      <c r="G148" s="9" t="s">
        <v>28</v>
      </c>
      <c r="H148" s="5" t="s">
        <v>5</v>
      </c>
      <c r="I148" s="84"/>
      <c r="J148" s="248">
        <v>1400000</v>
      </c>
      <c r="K148" s="39"/>
      <c r="L148" s="39"/>
      <c r="M148" s="7" t="s">
        <v>221</v>
      </c>
      <c r="N148" s="88">
        <v>0</v>
      </c>
      <c r="O148" s="243">
        <f t="shared" si="45"/>
        <v>0</v>
      </c>
      <c r="P148" s="91" t="s">
        <v>141</v>
      </c>
      <c r="Q148" s="91" t="s">
        <v>141</v>
      </c>
      <c r="R148" s="88"/>
      <c r="S148" s="88"/>
      <c r="T148" s="88">
        <f t="shared" si="46"/>
        <v>0</v>
      </c>
      <c r="U148" s="39"/>
      <c r="V148" s="8">
        <f t="shared" si="47"/>
        <v>1400000</v>
      </c>
      <c r="W148" s="39">
        <f t="shared" si="48"/>
        <v>100</v>
      </c>
      <c r="X148" s="39"/>
      <c r="Y148" s="166"/>
      <c r="Z148" s="46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25" customFormat="1" ht="13.5">
      <c r="A149" s="84"/>
      <c r="B149" s="247" t="s">
        <v>279</v>
      </c>
      <c r="C149" s="87" t="s">
        <v>290</v>
      </c>
      <c r="D149" s="84" t="s">
        <v>76</v>
      </c>
      <c r="E149" s="84" t="s">
        <v>306</v>
      </c>
      <c r="F149" s="84" t="s">
        <v>75</v>
      </c>
      <c r="G149" s="9" t="s">
        <v>28</v>
      </c>
      <c r="H149" s="5" t="s">
        <v>5</v>
      </c>
      <c r="I149" s="84"/>
      <c r="J149" s="248">
        <v>450000</v>
      </c>
      <c r="K149" s="39"/>
      <c r="L149" s="39"/>
      <c r="M149" s="7" t="s">
        <v>221</v>
      </c>
      <c r="N149" s="88">
        <v>0</v>
      </c>
      <c r="O149" s="243">
        <f t="shared" si="45"/>
        <v>0</v>
      </c>
      <c r="P149" s="91" t="s">
        <v>141</v>
      </c>
      <c r="Q149" s="91" t="s">
        <v>141</v>
      </c>
      <c r="R149" s="88"/>
      <c r="S149" s="88"/>
      <c r="T149" s="88">
        <f t="shared" si="46"/>
        <v>0</v>
      </c>
      <c r="U149" s="39"/>
      <c r="V149" s="8">
        <f t="shared" si="47"/>
        <v>450000</v>
      </c>
      <c r="W149" s="39">
        <f t="shared" si="48"/>
        <v>100</v>
      </c>
      <c r="X149" s="39"/>
      <c r="Y149" s="166"/>
      <c r="Z149" s="46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25" customFormat="1" ht="13.5">
      <c r="A150" s="84"/>
      <c r="B150" s="247" t="s">
        <v>81</v>
      </c>
      <c r="C150" s="87" t="s">
        <v>137</v>
      </c>
      <c r="D150" s="84" t="s">
        <v>76</v>
      </c>
      <c r="E150" s="84" t="s">
        <v>306</v>
      </c>
      <c r="F150" s="84" t="s">
        <v>75</v>
      </c>
      <c r="G150" s="9" t="s">
        <v>28</v>
      </c>
      <c r="H150" s="5" t="s">
        <v>5</v>
      </c>
      <c r="I150" s="84"/>
      <c r="J150" s="248">
        <v>3000000</v>
      </c>
      <c r="K150" s="39"/>
      <c r="L150" s="39"/>
      <c r="M150" s="7" t="s">
        <v>299</v>
      </c>
      <c r="N150" s="88">
        <v>0</v>
      </c>
      <c r="O150" s="243">
        <f t="shared" si="45"/>
        <v>0</v>
      </c>
      <c r="P150" s="91" t="s">
        <v>141</v>
      </c>
      <c r="Q150" s="91" t="s">
        <v>141</v>
      </c>
      <c r="R150" s="88"/>
      <c r="S150" s="88"/>
      <c r="T150" s="88">
        <f t="shared" si="46"/>
        <v>0</v>
      </c>
      <c r="U150" s="39"/>
      <c r="V150" s="8">
        <f t="shared" si="47"/>
        <v>3000000</v>
      </c>
      <c r="W150" s="39">
        <f t="shared" si="48"/>
        <v>100</v>
      </c>
      <c r="X150" s="39"/>
      <c r="Y150" s="166"/>
      <c r="Z150" s="46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25" customFormat="1" ht="13.5">
      <c r="A151" s="84"/>
      <c r="B151" s="247" t="s">
        <v>280</v>
      </c>
      <c r="C151" s="87" t="s">
        <v>291</v>
      </c>
      <c r="D151" s="84" t="s">
        <v>76</v>
      </c>
      <c r="E151" s="84" t="s">
        <v>306</v>
      </c>
      <c r="F151" s="84" t="s">
        <v>75</v>
      </c>
      <c r="G151" s="9" t="s">
        <v>28</v>
      </c>
      <c r="H151" s="5" t="s">
        <v>5</v>
      </c>
      <c r="I151" s="84"/>
      <c r="J151" s="248">
        <v>10100000</v>
      </c>
      <c r="K151" s="39"/>
      <c r="L151" s="39"/>
      <c r="M151" s="7" t="s">
        <v>299</v>
      </c>
      <c r="N151" s="88">
        <v>0</v>
      </c>
      <c r="O151" s="243">
        <f t="shared" si="45"/>
        <v>0</v>
      </c>
      <c r="P151" s="91" t="s">
        <v>141</v>
      </c>
      <c r="Q151" s="91" t="s">
        <v>141</v>
      </c>
      <c r="R151" s="88"/>
      <c r="S151" s="88"/>
      <c r="T151" s="88">
        <f t="shared" si="46"/>
        <v>0</v>
      </c>
      <c r="U151" s="39"/>
      <c r="V151" s="8">
        <f t="shared" si="47"/>
        <v>10100000</v>
      </c>
      <c r="W151" s="39">
        <f t="shared" si="48"/>
        <v>100</v>
      </c>
      <c r="X151" s="39"/>
      <c r="Y151" s="166"/>
      <c r="Z151" s="46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25" customFormat="1" ht="13.5">
      <c r="A152" s="84"/>
      <c r="B152" s="247" t="s">
        <v>281</v>
      </c>
      <c r="C152" s="87" t="s">
        <v>292</v>
      </c>
      <c r="D152" s="84" t="s">
        <v>76</v>
      </c>
      <c r="E152" s="84" t="s">
        <v>306</v>
      </c>
      <c r="F152" s="84" t="s">
        <v>75</v>
      </c>
      <c r="G152" s="9" t="s">
        <v>28</v>
      </c>
      <c r="H152" s="5" t="s">
        <v>5</v>
      </c>
      <c r="I152" s="84"/>
      <c r="J152" s="248">
        <v>2600000</v>
      </c>
      <c r="K152" s="39"/>
      <c r="L152" s="39"/>
      <c r="M152" s="7" t="s">
        <v>299</v>
      </c>
      <c r="N152" s="88">
        <v>0</v>
      </c>
      <c r="O152" s="243">
        <f t="shared" si="45"/>
        <v>0</v>
      </c>
      <c r="P152" s="91" t="s">
        <v>141</v>
      </c>
      <c r="Q152" s="91" t="s">
        <v>141</v>
      </c>
      <c r="R152" s="88"/>
      <c r="S152" s="88"/>
      <c r="T152" s="88">
        <f t="shared" si="46"/>
        <v>0</v>
      </c>
      <c r="U152" s="39"/>
      <c r="V152" s="8">
        <f t="shared" si="47"/>
        <v>2600000</v>
      </c>
      <c r="W152" s="39">
        <f t="shared" si="48"/>
        <v>100</v>
      </c>
      <c r="X152" s="39"/>
      <c r="Y152" s="166"/>
      <c r="Z152" s="46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26" customFormat="1" ht="13.5">
      <c r="A153" s="107"/>
      <c r="B153" s="242" t="s">
        <v>92</v>
      </c>
      <c r="C153" s="218" t="s">
        <v>117</v>
      </c>
      <c r="D153" s="219" t="s">
        <v>76</v>
      </c>
      <c r="E153" s="219" t="s">
        <v>306</v>
      </c>
      <c r="F153" s="219" t="s">
        <v>75</v>
      </c>
      <c r="G153" s="206" t="s">
        <v>28</v>
      </c>
      <c r="H153" s="207" t="s">
        <v>5</v>
      </c>
      <c r="I153" s="219"/>
      <c r="J153" s="273">
        <f>J154</f>
        <v>1560000</v>
      </c>
      <c r="K153" s="243"/>
      <c r="L153" s="243"/>
      <c r="M153" s="274"/>
      <c r="N153" s="243">
        <f aca="true" t="shared" si="50" ref="N153:X153">N154</f>
        <v>0</v>
      </c>
      <c r="O153" s="243">
        <f t="shared" si="45"/>
        <v>0</v>
      </c>
      <c r="P153" s="243"/>
      <c r="Q153" s="243"/>
      <c r="R153" s="243">
        <f t="shared" si="50"/>
        <v>0</v>
      </c>
      <c r="S153" s="243">
        <f t="shared" si="50"/>
        <v>0</v>
      </c>
      <c r="T153" s="243">
        <f t="shared" si="50"/>
        <v>0</v>
      </c>
      <c r="U153" s="243">
        <f t="shared" si="50"/>
        <v>0</v>
      </c>
      <c r="V153" s="243">
        <f t="shared" si="50"/>
        <v>1560000</v>
      </c>
      <c r="W153" s="243">
        <f t="shared" si="50"/>
        <v>100</v>
      </c>
      <c r="X153" s="243">
        <f t="shared" si="50"/>
        <v>0</v>
      </c>
      <c r="Y153" s="51"/>
      <c r="Z153" s="45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s="25" customFormat="1" ht="27">
      <c r="A154" s="84"/>
      <c r="B154" s="247" t="s">
        <v>193</v>
      </c>
      <c r="C154" s="87" t="s">
        <v>118</v>
      </c>
      <c r="D154" s="84" t="s">
        <v>76</v>
      </c>
      <c r="E154" s="84" t="s">
        <v>306</v>
      </c>
      <c r="F154" s="84" t="s">
        <v>75</v>
      </c>
      <c r="G154" s="9" t="s">
        <v>28</v>
      </c>
      <c r="H154" s="5" t="s">
        <v>5</v>
      </c>
      <c r="I154" s="84"/>
      <c r="J154" s="248">
        <v>1560000</v>
      </c>
      <c r="K154" s="39"/>
      <c r="L154" s="39"/>
      <c r="M154" s="7" t="s">
        <v>221</v>
      </c>
      <c r="N154" s="88">
        <v>0</v>
      </c>
      <c r="O154" s="243">
        <f t="shared" si="45"/>
        <v>0</v>
      </c>
      <c r="P154" s="91" t="s">
        <v>141</v>
      </c>
      <c r="Q154" s="91" t="s">
        <v>141</v>
      </c>
      <c r="R154" s="88"/>
      <c r="S154" s="88"/>
      <c r="T154" s="88">
        <f t="shared" si="46"/>
        <v>0</v>
      </c>
      <c r="U154" s="39"/>
      <c r="V154" s="8">
        <f t="shared" si="47"/>
        <v>1560000</v>
      </c>
      <c r="W154" s="39">
        <f t="shared" si="48"/>
        <v>100</v>
      </c>
      <c r="X154" s="39"/>
      <c r="Y154" s="166"/>
      <c r="Z154" s="46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26" customFormat="1" ht="27">
      <c r="A155" s="107"/>
      <c r="B155" s="242" t="s">
        <v>282</v>
      </c>
      <c r="C155" s="108" t="s">
        <v>293</v>
      </c>
      <c r="D155" s="107" t="s">
        <v>76</v>
      </c>
      <c r="E155" s="107" t="s">
        <v>306</v>
      </c>
      <c r="F155" s="107" t="s">
        <v>75</v>
      </c>
      <c r="G155" s="10" t="s">
        <v>28</v>
      </c>
      <c r="H155" s="102" t="s">
        <v>5</v>
      </c>
      <c r="I155" s="107"/>
      <c r="J155" s="243">
        <f>J156</f>
        <v>12000000</v>
      </c>
      <c r="K155" s="243">
        <f aca="true" t="shared" si="51" ref="K155:X155">K156</f>
        <v>0</v>
      </c>
      <c r="L155" s="243">
        <f t="shared" si="51"/>
        <v>0</v>
      </c>
      <c r="M155" s="243"/>
      <c r="N155" s="243">
        <f t="shared" si="51"/>
        <v>0</v>
      </c>
      <c r="O155" s="243">
        <f t="shared" si="45"/>
        <v>0</v>
      </c>
      <c r="P155" s="243"/>
      <c r="Q155" s="243"/>
      <c r="R155" s="243">
        <f t="shared" si="51"/>
        <v>0</v>
      </c>
      <c r="S155" s="243">
        <f t="shared" si="51"/>
        <v>0</v>
      </c>
      <c r="T155" s="243">
        <f t="shared" si="51"/>
        <v>0</v>
      </c>
      <c r="U155" s="243">
        <f t="shared" si="51"/>
        <v>0</v>
      </c>
      <c r="V155" s="243">
        <f t="shared" si="51"/>
        <v>12000000</v>
      </c>
      <c r="W155" s="243">
        <f t="shared" si="51"/>
        <v>100</v>
      </c>
      <c r="X155" s="243">
        <f t="shared" si="51"/>
        <v>0</v>
      </c>
      <c r="Y155" s="51"/>
      <c r="Z155" s="45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s="25" customFormat="1" ht="13.5">
      <c r="A156" s="84"/>
      <c r="B156" s="247" t="s">
        <v>283</v>
      </c>
      <c r="C156" s="87" t="s">
        <v>294</v>
      </c>
      <c r="D156" s="84" t="s">
        <v>76</v>
      </c>
      <c r="E156" s="84" t="s">
        <v>306</v>
      </c>
      <c r="F156" s="84" t="s">
        <v>75</v>
      </c>
      <c r="G156" s="9" t="s">
        <v>28</v>
      </c>
      <c r="H156" s="5" t="s">
        <v>5</v>
      </c>
      <c r="I156" s="84"/>
      <c r="J156" s="248">
        <v>12000000</v>
      </c>
      <c r="K156" s="39"/>
      <c r="L156" s="39"/>
      <c r="M156" s="7" t="s">
        <v>221</v>
      </c>
      <c r="N156" s="88">
        <v>0</v>
      </c>
      <c r="O156" s="243">
        <f t="shared" si="45"/>
        <v>0</v>
      </c>
      <c r="P156" s="91" t="s">
        <v>141</v>
      </c>
      <c r="Q156" s="91" t="s">
        <v>141</v>
      </c>
      <c r="R156" s="88"/>
      <c r="S156" s="88"/>
      <c r="T156" s="88">
        <f t="shared" si="46"/>
        <v>0</v>
      </c>
      <c r="U156" s="39"/>
      <c r="V156" s="8">
        <f t="shared" si="47"/>
        <v>12000000</v>
      </c>
      <c r="W156" s="39">
        <f t="shared" si="48"/>
        <v>100</v>
      </c>
      <c r="X156" s="39"/>
      <c r="Y156" s="166"/>
      <c r="Z156" s="46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s="26" customFormat="1" ht="13.5">
      <c r="A157" s="107"/>
      <c r="B157" s="242" t="s">
        <v>259</v>
      </c>
      <c r="C157" s="108" t="s">
        <v>132</v>
      </c>
      <c r="D157" s="107" t="s">
        <v>76</v>
      </c>
      <c r="E157" s="107" t="s">
        <v>306</v>
      </c>
      <c r="F157" s="107" t="s">
        <v>75</v>
      </c>
      <c r="G157" s="10" t="s">
        <v>28</v>
      </c>
      <c r="H157" s="102" t="s">
        <v>5</v>
      </c>
      <c r="I157" s="107"/>
      <c r="J157" s="243">
        <f>J158</f>
        <v>32400000</v>
      </c>
      <c r="K157" s="243">
        <f aca="true" t="shared" si="52" ref="K157:X157">K158</f>
        <v>0</v>
      </c>
      <c r="L157" s="243">
        <f t="shared" si="52"/>
        <v>0</v>
      </c>
      <c r="M157" s="243"/>
      <c r="N157" s="243">
        <f t="shared" si="52"/>
        <v>0</v>
      </c>
      <c r="O157" s="243">
        <f t="shared" si="45"/>
        <v>0</v>
      </c>
      <c r="P157" s="243"/>
      <c r="Q157" s="243"/>
      <c r="R157" s="243">
        <f t="shared" si="52"/>
        <v>0</v>
      </c>
      <c r="S157" s="243">
        <f t="shared" si="52"/>
        <v>0</v>
      </c>
      <c r="T157" s="243">
        <f t="shared" si="52"/>
        <v>0</v>
      </c>
      <c r="U157" s="243">
        <f t="shared" si="52"/>
        <v>0</v>
      </c>
      <c r="V157" s="243">
        <f t="shared" si="52"/>
        <v>32400000</v>
      </c>
      <c r="W157" s="243">
        <f t="shared" si="52"/>
        <v>100</v>
      </c>
      <c r="X157" s="243">
        <f t="shared" si="52"/>
        <v>0</v>
      </c>
      <c r="Y157" s="51"/>
      <c r="Z157" s="45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s="25" customFormat="1" ht="13.5">
      <c r="A158" s="84"/>
      <c r="B158" s="247" t="s">
        <v>284</v>
      </c>
      <c r="C158" s="87" t="s">
        <v>138</v>
      </c>
      <c r="D158" s="84" t="s">
        <v>76</v>
      </c>
      <c r="E158" s="84" t="s">
        <v>306</v>
      </c>
      <c r="F158" s="84" t="s">
        <v>75</v>
      </c>
      <c r="G158" s="9" t="s">
        <v>28</v>
      </c>
      <c r="H158" s="5" t="s">
        <v>5</v>
      </c>
      <c r="I158" s="84"/>
      <c r="J158" s="248">
        <v>32400000</v>
      </c>
      <c r="K158" s="39"/>
      <c r="L158" s="39"/>
      <c r="M158" s="7" t="s">
        <v>299</v>
      </c>
      <c r="N158" s="88">
        <v>0</v>
      </c>
      <c r="O158" s="243">
        <f t="shared" si="45"/>
        <v>0</v>
      </c>
      <c r="P158" s="91" t="s">
        <v>141</v>
      </c>
      <c r="Q158" s="91" t="s">
        <v>141</v>
      </c>
      <c r="R158" s="88"/>
      <c r="S158" s="88"/>
      <c r="T158" s="88">
        <f t="shared" si="46"/>
        <v>0</v>
      </c>
      <c r="U158" s="39"/>
      <c r="V158" s="8">
        <f t="shared" si="47"/>
        <v>32400000</v>
      </c>
      <c r="W158" s="39">
        <f t="shared" si="48"/>
        <v>100</v>
      </c>
      <c r="X158" s="39"/>
      <c r="Y158" s="166"/>
      <c r="Z158" s="46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s="26" customFormat="1" ht="13.5">
      <c r="A159" s="107"/>
      <c r="B159" s="242" t="s">
        <v>285</v>
      </c>
      <c r="C159" s="108" t="s">
        <v>295</v>
      </c>
      <c r="D159" s="107" t="s">
        <v>76</v>
      </c>
      <c r="E159" s="107" t="s">
        <v>306</v>
      </c>
      <c r="F159" s="107" t="s">
        <v>75</v>
      </c>
      <c r="G159" s="10" t="s">
        <v>28</v>
      </c>
      <c r="H159" s="102" t="s">
        <v>5</v>
      </c>
      <c r="I159" s="107"/>
      <c r="J159" s="243">
        <f>J160</f>
        <v>1500000</v>
      </c>
      <c r="K159" s="243">
        <f aca="true" t="shared" si="53" ref="K159:X159">K160</f>
        <v>0</v>
      </c>
      <c r="L159" s="243">
        <f t="shared" si="53"/>
        <v>0</v>
      </c>
      <c r="M159" s="243"/>
      <c r="N159" s="243">
        <f t="shared" si="53"/>
        <v>0</v>
      </c>
      <c r="O159" s="243">
        <f t="shared" si="45"/>
        <v>0</v>
      </c>
      <c r="P159" s="243"/>
      <c r="Q159" s="243"/>
      <c r="R159" s="243">
        <f t="shared" si="53"/>
        <v>0</v>
      </c>
      <c r="S159" s="243">
        <f t="shared" si="53"/>
        <v>0</v>
      </c>
      <c r="T159" s="243">
        <f t="shared" si="53"/>
        <v>0</v>
      </c>
      <c r="U159" s="243">
        <f t="shared" si="53"/>
        <v>0</v>
      </c>
      <c r="V159" s="243">
        <f t="shared" si="53"/>
        <v>1500000</v>
      </c>
      <c r="W159" s="243">
        <f t="shared" si="53"/>
        <v>100</v>
      </c>
      <c r="X159" s="243">
        <f t="shared" si="53"/>
        <v>0</v>
      </c>
      <c r="Y159" s="51"/>
      <c r="Z159" s="45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s="25" customFormat="1" ht="13.5">
      <c r="A160" s="84"/>
      <c r="B160" s="247" t="s">
        <v>286</v>
      </c>
      <c r="C160" s="87" t="s">
        <v>296</v>
      </c>
      <c r="D160" s="84" t="s">
        <v>76</v>
      </c>
      <c r="E160" s="84" t="s">
        <v>306</v>
      </c>
      <c r="F160" s="84" t="s">
        <v>75</v>
      </c>
      <c r="G160" s="9" t="s">
        <v>28</v>
      </c>
      <c r="H160" s="5" t="s">
        <v>5</v>
      </c>
      <c r="I160" s="84"/>
      <c r="J160" s="248">
        <v>1500000</v>
      </c>
      <c r="K160" s="39"/>
      <c r="L160" s="39"/>
      <c r="M160" s="7" t="s">
        <v>299</v>
      </c>
      <c r="N160" s="88">
        <v>0</v>
      </c>
      <c r="O160" s="243">
        <f t="shared" si="45"/>
        <v>0</v>
      </c>
      <c r="P160" s="91" t="s">
        <v>141</v>
      </c>
      <c r="Q160" s="91" t="s">
        <v>141</v>
      </c>
      <c r="R160" s="88"/>
      <c r="S160" s="88"/>
      <c r="T160" s="88">
        <f t="shared" si="46"/>
        <v>0</v>
      </c>
      <c r="U160" s="39"/>
      <c r="V160" s="8">
        <f t="shared" si="47"/>
        <v>1500000</v>
      </c>
      <c r="W160" s="39">
        <f t="shared" si="48"/>
        <v>100</v>
      </c>
      <c r="X160" s="39"/>
      <c r="Y160" s="166"/>
      <c r="Z160" s="46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s="25" customFormat="1" ht="13.5">
      <c r="A161" s="216"/>
      <c r="B161" s="271" t="s">
        <v>264</v>
      </c>
      <c r="C161" s="217"/>
      <c r="D161" s="216" t="s">
        <v>76</v>
      </c>
      <c r="E161" s="216" t="s">
        <v>306</v>
      </c>
      <c r="F161" s="216" t="s">
        <v>75</v>
      </c>
      <c r="G161" s="217" t="s">
        <v>28</v>
      </c>
      <c r="H161" s="216" t="s">
        <v>5</v>
      </c>
      <c r="I161" s="216"/>
      <c r="J161" s="239">
        <f>J162</f>
        <v>71250000</v>
      </c>
      <c r="K161" s="239">
        <f aca="true" t="shared" si="54" ref="K161:X162">K162</f>
        <v>0</v>
      </c>
      <c r="L161" s="239">
        <f t="shared" si="54"/>
        <v>0</v>
      </c>
      <c r="M161" s="239"/>
      <c r="N161" s="239">
        <f t="shared" si="54"/>
        <v>0</v>
      </c>
      <c r="O161" s="239">
        <f t="shared" si="45"/>
        <v>0</v>
      </c>
      <c r="P161" s="239"/>
      <c r="Q161" s="239"/>
      <c r="R161" s="239">
        <f t="shared" si="54"/>
        <v>0</v>
      </c>
      <c r="S161" s="239">
        <f t="shared" si="54"/>
        <v>0</v>
      </c>
      <c r="T161" s="239">
        <f t="shared" si="54"/>
        <v>0</v>
      </c>
      <c r="U161" s="239">
        <f t="shared" si="54"/>
        <v>0</v>
      </c>
      <c r="V161" s="239">
        <f t="shared" si="54"/>
        <v>71250000</v>
      </c>
      <c r="W161" s="239">
        <f t="shared" si="54"/>
        <v>100</v>
      </c>
      <c r="X161" s="239">
        <f t="shared" si="54"/>
        <v>0</v>
      </c>
      <c r="Y161" s="166"/>
      <c r="Z161" s="46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s="26" customFormat="1" ht="13.5">
      <c r="A162" s="107"/>
      <c r="B162" s="242" t="s">
        <v>287</v>
      </c>
      <c r="C162" s="108" t="s">
        <v>297</v>
      </c>
      <c r="D162" s="107" t="s">
        <v>76</v>
      </c>
      <c r="E162" s="107" t="s">
        <v>306</v>
      </c>
      <c r="F162" s="107" t="s">
        <v>75</v>
      </c>
      <c r="G162" s="10" t="s">
        <v>28</v>
      </c>
      <c r="H162" s="102" t="s">
        <v>5</v>
      </c>
      <c r="I162" s="107"/>
      <c r="J162" s="243">
        <f>J163</f>
        <v>71250000</v>
      </c>
      <c r="K162" s="243">
        <f t="shared" si="54"/>
        <v>0</v>
      </c>
      <c r="L162" s="243">
        <f t="shared" si="54"/>
        <v>0</v>
      </c>
      <c r="M162" s="243"/>
      <c r="N162" s="243">
        <f t="shared" si="54"/>
        <v>0</v>
      </c>
      <c r="O162" s="243">
        <f t="shared" si="45"/>
        <v>0</v>
      </c>
      <c r="P162" s="243"/>
      <c r="Q162" s="243"/>
      <c r="R162" s="243">
        <f t="shared" si="54"/>
        <v>0</v>
      </c>
      <c r="S162" s="243">
        <f t="shared" si="54"/>
        <v>0</v>
      </c>
      <c r="T162" s="243">
        <f t="shared" si="54"/>
        <v>0</v>
      </c>
      <c r="U162" s="243">
        <f t="shared" si="54"/>
        <v>0</v>
      </c>
      <c r="V162" s="243">
        <f t="shared" si="54"/>
        <v>71250000</v>
      </c>
      <c r="W162" s="243">
        <f t="shared" si="54"/>
        <v>100</v>
      </c>
      <c r="X162" s="243">
        <f t="shared" si="54"/>
        <v>0</v>
      </c>
      <c r="Y162" s="51"/>
      <c r="Z162" s="45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s="25" customFormat="1" ht="13.5">
      <c r="A163" s="84"/>
      <c r="B163" s="247" t="s">
        <v>288</v>
      </c>
      <c r="C163" s="87" t="s">
        <v>298</v>
      </c>
      <c r="D163" s="84" t="s">
        <v>76</v>
      </c>
      <c r="E163" s="84" t="s">
        <v>306</v>
      </c>
      <c r="F163" s="84" t="s">
        <v>75</v>
      </c>
      <c r="G163" s="9" t="s">
        <v>28</v>
      </c>
      <c r="H163" s="5" t="s">
        <v>5</v>
      </c>
      <c r="I163" s="84"/>
      <c r="J163" s="248">
        <v>71250000</v>
      </c>
      <c r="K163" s="39"/>
      <c r="L163" s="39"/>
      <c r="M163" s="7" t="s">
        <v>221</v>
      </c>
      <c r="N163" s="88">
        <v>0</v>
      </c>
      <c r="O163" s="243">
        <f t="shared" si="45"/>
        <v>0</v>
      </c>
      <c r="P163" s="91" t="s">
        <v>141</v>
      </c>
      <c r="Q163" s="91" t="s">
        <v>141</v>
      </c>
      <c r="R163" s="88"/>
      <c r="S163" s="88"/>
      <c r="T163" s="88">
        <f t="shared" si="46"/>
        <v>0</v>
      </c>
      <c r="U163" s="39"/>
      <c r="V163" s="8">
        <f t="shared" si="47"/>
        <v>71250000</v>
      </c>
      <c r="W163" s="39">
        <f t="shared" si="48"/>
        <v>100</v>
      </c>
      <c r="X163" s="39"/>
      <c r="Y163" s="166"/>
      <c r="Z163" s="46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s="26" customFormat="1" ht="13.5" customHeight="1" thickBot="1">
      <c r="A164" s="100"/>
      <c r="B164" s="99" t="s">
        <v>7</v>
      </c>
      <c r="C164" s="100"/>
      <c r="D164" s="100"/>
      <c r="E164" s="172"/>
      <c r="F164" s="172"/>
      <c r="G164" s="172"/>
      <c r="H164" s="172"/>
      <c r="I164" s="172"/>
      <c r="J164" s="101">
        <f>J11</f>
        <v>11246303956</v>
      </c>
      <c r="K164" s="101"/>
      <c r="L164" s="101"/>
      <c r="M164" s="101"/>
      <c r="N164" s="101">
        <f aca="true" t="shared" si="55" ref="N164:W164">N11</f>
        <v>2183412790</v>
      </c>
      <c r="O164" s="101"/>
      <c r="P164" s="101"/>
      <c r="Q164" s="101"/>
      <c r="R164" s="101">
        <f t="shared" si="55"/>
        <v>106094632</v>
      </c>
      <c r="S164" s="101">
        <f t="shared" si="55"/>
        <v>0</v>
      </c>
      <c r="T164" s="101">
        <f t="shared" si="55"/>
        <v>106094632</v>
      </c>
      <c r="U164" s="101"/>
      <c r="V164" s="101">
        <f t="shared" si="55"/>
        <v>11140209324</v>
      </c>
      <c r="W164" s="101">
        <f t="shared" si="55"/>
        <v>99.0566266711705</v>
      </c>
      <c r="X164" s="101"/>
      <c r="Y164" s="52"/>
      <c r="Z164" s="46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s="26" customFormat="1" ht="13.5" customHeight="1" thickTop="1">
      <c r="A165" s="93" t="s">
        <v>154</v>
      </c>
      <c r="B165" s="93"/>
      <c r="C165" s="13"/>
      <c r="D165" s="13"/>
      <c r="E165" s="14"/>
      <c r="F165" s="14"/>
      <c r="G165" s="14"/>
      <c r="H165" s="14"/>
      <c r="I165" s="14"/>
      <c r="J165" s="15"/>
      <c r="K165" s="16"/>
      <c r="L165" s="16"/>
      <c r="M165" s="154"/>
      <c r="N165" s="113"/>
      <c r="O165" s="201"/>
      <c r="P165" s="18"/>
      <c r="Q165" s="18"/>
      <c r="R165" s="113"/>
      <c r="S165" s="280"/>
      <c r="T165" s="281"/>
      <c r="U165" s="201"/>
      <c r="V165" s="19"/>
      <c r="W165" s="192"/>
      <c r="X165" s="16"/>
      <c r="Y165" s="41"/>
      <c r="Z165" s="45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s="25" customFormat="1" ht="13.5">
      <c r="A166" s="21"/>
      <c r="B166" s="22" t="s">
        <v>22</v>
      </c>
      <c r="C166" s="22"/>
      <c r="D166" s="22"/>
      <c r="E166" s="22"/>
      <c r="F166" s="22"/>
      <c r="G166" s="22"/>
      <c r="H166" s="22"/>
      <c r="I166" s="22"/>
      <c r="J166" s="180"/>
      <c r="K166" s="21"/>
      <c r="L166" s="20"/>
      <c r="M166" s="154"/>
      <c r="N166" s="114"/>
      <c r="O166" s="21"/>
      <c r="P166" s="171"/>
      <c r="Q166" s="171"/>
      <c r="R166" s="361" t="s">
        <v>305</v>
      </c>
      <c r="S166" s="361"/>
      <c r="T166" s="361"/>
      <c r="U166" s="361"/>
      <c r="V166" s="361"/>
      <c r="W166" s="361"/>
      <c r="X166" s="21"/>
      <c r="Y166" s="38"/>
      <c r="Z166" s="46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s="25" customFormat="1" ht="13.5">
      <c r="A167" s="21"/>
      <c r="B167" s="22" t="s">
        <v>304</v>
      </c>
      <c r="C167" s="22"/>
      <c r="D167" s="22"/>
      <c r="E167" s="22"/>
      <c r="F167" s="22"/>
      <c r="G167" s="22"/>
      <c r="H167" s="22"/>
      <c r="I167" s="22"/>
      <c r="J167" s="22"/>
      <c r="K167" s="21"/>
      <c r="L167" s="20"/>
      <c r="M167" s="155"/>
      <c r="N167" s="115"/>
      <c r="O167" s="21"/>
      <c r="P167" s="171"/>
      <c r="Q167" s="171"/>
      <c r="R167" s="282"/>
      <c r="S167" s="282"/>
      <c r="T167" s="283"/>
      <c r="U167" s="21"/>
      <c r="V167" s="21"/>
      <c r="W167" s="21"/>
      <c r="X167" s="21"/>
      <c r="Y167" s="38"/>
      <c r="Z167" s="46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s="25" customFormat="1" ht="13.5">
      <c r="A168" s="21"/>
      <c r="B168" s="22" t="s">
        <v>8</v>
      </c>
      <c r="C168" s="22"/>
      <c r="D168" s="22"/>
      <c r="E168" s="22"/>
      <c r="F168" s="22"/>
      <c r="G168" s="22"/>
      <c r="H168" s="22"/>
      <c r="I168" s="22"/>
      <c r="J168" s="22"/>
      <c r="K168" s="21"/>
      <c r="L168" s="20"/>
      <c r="M168" s="155"/>
      <c r="N168" s="115"/>
      <c r="O168" s="21"/>
      <c r="P168" s="171"/>
      <c r="Q168" s="171"/>
      <c r="R168" s="361" t="s">
        <v>9</v>
      </c>
      <c r="S168" s="361"/>
      <c r="T168" s="361"/>
      <c r="U168" s="361"/>
      <c r="V168" s="361"/>
      <c r="W168" s="361"/>
      <c r="X168" s="21"/>
      <c r="Y168" s="38"/>
      <c r="Z168" s="46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s="25" customFormat="1" ht="13.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1"/>
      <c r="L169" s="20"/>
      <c r="M169" s="155"/>
      <c r="N169" s="115"/>
      <c r="O169" s="21"/>
      <c r="P169" s="171"/>
      <c r="Q169" s="171"/>
      <c r="R169" s="283"/>
      <c r="S169" s="283"/>
      <c r="T169" s="283"/>
      <c r="U169" s="21"/>
      <c r="V169" s="22"/>
      <c r="W169" s="21"/>
      <c r="X169" s="21"/>
      <c r="Y169" s="38"/>
      <c r="Z169" s="46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s="25" customFormat="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155"/>
      <c r="N170" s="116"/>
      <c r="O170" s="21"/>
      <c r="P170" s="171" t="s">
        <v>39</v>
      </c>
      <c r="Q170" s="171"/>
      <c r="R170" s="282"/>
      <c r="S170" s="282"/>
      <c r="T170" s="283"/>
      <c r="U170" s="21"/>
      <c r="V170" s="21"/>
      <c r="W170" s="21"/>
      <c r="X170" s="21"/>
      <c r="Y170" s="38"/>
      <c r="Z170" s="46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s="25" customFormat="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155"/>
      <c r="N171" s="115"/>
      <c r="O171" s="21"/>
      <c r="P171" s="171"/>
      <c r="Q171" s="171"/>
      <c r="R171" s="282"/>
      <c r="S171" s="282"/>
      <c r="T171" s="283"/>
      <c r="U171" s="21"/>
      <c r="V171" s="21"/>
      <c r="W171" s="21"/>
      <c r="X171" s="21"/>
      <c r="Y171" s="38"/>
      <c r="Z171" s="46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s="25" customFormat="1" ht="12" customHeight="1">
      <c r="A172" s="21"/>
      <c r="B172" s="92" t="s">
        <v>156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155"/>
      <c r="N172" s="115"/>
      <c r="O172" s="21"/>
      <c r="P172" s="171"/>
      <c r="Q172" s="171"/>
      <c r="R172" s="282"/>
      <c r="S172" s="282"/>
      <c r="T172" s="283"/>
      <c r="U172" s="21"/>
      <c r="V172" s="21"/>
      <c r="W172" s="21"/>
      <c r="X172" s="21"/>
      <c r="Y172" s="38"/>
      <c r="Z172" s="46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s="25" customFormat="1" ht="13.5">
      <c r="A173" s="21"/>
      <c r="B173" s="4" t="s">
        <v>157</v>
      </c>
      <c r="C173" s="92"/>
      <c r="D173" s="92"/>
      <c r="E173" s="92"/>
      <c r="F173" s="92"/>
      <c r="G173" s="92"/>
      <c r="H173" s="92"/>
      <c r="I173" s="92"/>
      <c r="J173" s="92"/>
      <c r="K173" s="21"/>
      <c r="L173" s="20"/>
      <c r="M173" s="155"/>
      <c r="N173" s="115"/>
      <c r="O173" s="21"/>
      <c r="P173" s="171"/>
      <c r="Q173" s="171"/>
      <c r="R173" s="359" t="s">
        <v>155</v>
      </c>
      <c r="S173" s="359"/>
      <c r="T173" s="359"/>
      <c r="U173" s="359"/>
      <c r="V173" s="359"/>
      <c r="W173" s="359"/>
      <c r="X173" s="23"/>
      <c r="Y173" s="38"/>
      <c r="Z173" s="46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s="25" customFormat="1" ht="12.75" customHeight="1">
      <c r="A174" s="21"/>
      <c r="C174" s="4"/>
      <c r="D174" s="4"/>
      <c r="E174" s="4"/>
      <c r="F174" s="4"/>
      <c r="G174" s="4"/>
      <c r="H174" s="4"/>
      <c r="I174" s="4"/>
      <c r="J174" s="4"/>
      <c r="K174" s="21"/>
      <c r="L174" s="20"/>
      <c r="M174" s="155"/>
      <c r="N174" s="115"/>
      <c r="O174" s="21"/>
      <c r="P174" s="171"/>
      <c r="Q174" s="171"/>
      <c r="R174" s="360" t="s">
        <v>153</v>
      </c>
      <c r="S174" s="360"/>
      <c r="T174" s="360"/>
      <c r="U174" s="360"/>
      <c r="V174" s="360"/>
      <c r="W174" s="360"/>
      <c r="X174" s="21"/>
      <c r="Y174" s="38"/>
      <c r="Z174" s="47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s="25" customFormat="1" ht="13.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20"/>
      <c r="M175" s="155"/>
      <c r="N175" s="115"/>
      <c r="O175" s="21"/>
      <c r="P175" s="171"/>
      <c r="Q175" s="171"/>
      <c r="R175" s="282"/>
      <c r="S175" s="282"/>
      <c r="T175" s="282"/>
      <c r="U175" s="21"/>
      <c r="V175" s="21"/>
      <c r="W175" s="21"/>
      <c r="X175" s="21"/>
      <c r="Y175" s="49"/>
      <c r="Z175" s="48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2:26" ht="11.25" customHeight="1">
      <c r="B176" s="4"/>
      <c r="C176" s="4"/>
      <c r="D176" s="4"/>
      <c r="E176" s="4"/>
      <c r="F176" s="4"/>
      <c r="G176" s="4"/>
      <c r="H176" s="4"/>
      <c r="I176" s="4"/>
      <c r="J176" s="4"/>
      <c r="L176" s="2"/>
      <c r="M176" s="156"/>
      <c r="N176" s="50"/>
      <c r="Y176" s="17"/>
      <c r="Z176" s="50"/>
    </row>
    <row r="177" spans="2:14" ht="13.5">
      <c r="B177" s="4"/>
      <c r="C177" s="4"/>
      <c r="D177" s="4"/>
      <c r="E177" s="4"/>
      <c r="F177" s="4"/>
      <c r="G177" s="4"/>
      <c r="H177" s="4"/>
      <c r="I177" s="4"/>
      <c r="J177" s="4"/>
      <c r="L177" s="2"/>
      <c r="M177" s="156"/>
      <c r="N177" s="50"/>
    </row>
    <row r="187" spans="1:35" s="117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57"/>
      <c r="O187" s="193"/>
      <c r="P187" s="25"/>
      <c r="Q187" s="25"/>
      <c r="U187" s="193"/>
      <c r="V187" s="3"/>
      <c r="W187" s="193"/>
      <c r="X187" s="3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s="117" customFormat="1" ht="13.5">
      <c r="A188" s="3"/>
      <c r="B188" s="30"/>
      <c r="C188" s="31"/>
      <c r="D188" s="2"/>
      <c r="E188" s="1"/>
      <c r="F188" s="1"/>
      <c r="G188" s="4"/>
      <c r="H188" s="4"/>
      <c r="I188" s="4"/>
      <c r="J188" s="4"/>
      <c r="K188" s="3"/>
      <c r="L188" s="2"/>
      <c r="M188" s="156"/>
      <c r="O188" s="193"/>
      <c r="P188" s="25"/>
      <c r="Q188" s="25"/>
      <c r="U188" s="193"/>
      <c r="V188" s="3"/>
      <c r="W188" s="193"/>
      <c r="X188" s="3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s="117" customFormat="1" ht="13.5">
      <c r="A189" s="3"/>
      <c r="B189" s="30"/>
      <c r="C189" s="31"/>
      <c r="D189" s="2"/>
      <c r="E189" s="1"/>
      <c r="F189" s="1"/>
      <c r="G189" s="4"/>
      <c r="H189" s="4"/>
      <c r="I189" s="4"/>
      <c r="J189" s="4"/>
      <c r="K189" s="3"/>
      <c r="L189" s="2"/>
      <c r="M189" s="156"/>
      <c r="O189" s="193"/>
      <c r="P189" s="25"/>
      <c r="Q189" s="25"/>
      <c r="U189" s="193"/>
      <c r="V189" s="3"/>
      <c r="W189" s="193"/>
      <c r="X189" s="3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s="117" customFormat="1" ht="13.5">
      <c r="A190" s="3"/>
      <c r="B190" s="30"/>
      <c r="C190" s="31"/>
      <c r="D190" s="2"/>
      <c r="E190" s="1"/>
      <c r="F190" s="1"/>
      <c r="G190" s="4"/>
      <c r="H190" s="4"/>
      <c r="I190" s="4"/>
      <c r="J190" s="4"/>
      <c r="K190" s="3"/>
      <c r="L190" s="2"/>
      <c r="M190" s="156"/>
      <c r="O190" s="193"/>
      <c r="P190" s="25"/>
      <c r="Q190" s="25"/>
      <c r="U190" s="193"/>
      <c r="V190" s="3"/>
      <c r="W190" s="193"/>
      <c r="X190" s="3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s="117" customFormat="1" ht="13.5">
      <c r="A191" s="3"/>
      <c r="B191" s="30"/>
      <c r="C191" s="1"/>
      <c r="D191" s="2"/>
      <c r="E191" s="1"/>
      <c r="F191" s="1"/>
      <c r="G191" s="4"/>
      <c r="H191" s="4"/>
      <c r="I191" s="4"/>
      <c r="J191" s="4"/>
      <c r="K191" s="3"/>
      <c r="L191" s="2"/>
      <c r="M191" s="156"/>
      <c r="O191" s="193"/>
      <c r="P191" s="25"/>
      <c r="Q191" s="25"/>
      <c r="U191" s="193"/>
      <c r="V191" s="3"/>
      <c r="W191" s="193"/>
      <c r="X191" s="3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s="117" customFormat="1" ht="13.5">
      <c r="A192" s="3"/>
      <c r="B192" s="30"/>
      <c r="C192" s="1"/>
      <c r="D192" s="2"/>
      <c r="E192" s="1"/>
      <c r="F192" s="1"/>
      <c r="G192" s="4"/>
      <c r="H192" s="4"/>
      <c r="I192" s="4"/>
      <c r="J192" s="4"/>
      <c r="K192" s="3"/>
      <c r="L192" s="2"/>
      <c r="M192" s="156"/>
      <c r="O192" s="193"/>
      <c r="P192" s="25"/>
      <c r="Q192" s="25"/>
      <c r="U192" s="193"/>
      <c r="V192" s="3"/>
      <c r="W192" s="193"/>
      <c r="X192" s="3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s="117" customFormat="1" ht="13.5">
      <c r="A193" s="3"/>
      <c r="B193" s="30"/>
      <c r="C193" s="1"/>
      <c r="D193" s="2"/>
      <c r="E193" s="1"/>
      <c r="F193" s="1"/>
      <c r="G193" s="4"/>
      <c r="H193" s="4"/>
      <c r="I193" s="4"/>
      <c r="J193" s="4"/>
      <c r="K193" s="3"/>
      <c r="L193" s="2"/>
      <c r="M193" s="156"/>
      <c r="O193" s="193"/>
      <c r="P193" s="25"/>
      <c r="Q193" s="25"/>
      <c r="U193" s="193"/>
      <c r="V193" s="3"/>
      <c r="W193" s="193"/>
      <c r="X193" s="3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s="117" customFormat="1" ht="13.5">
      <c r="A194" s="3"/>
      <c r="B194" s="30"/>
      <c r="C194" s="1"/>
      <c r="D194" s="2"/>
      <c r="E194" s="1"/>
      <c r="F194" s="1"/>
      <c r="G194" s="4"/>
      <c r="H194" s="4"/>
      <c r="I194" s="4"/>
      <c r="J194" s="4"/>
      <c r="K194" s="3"/>
      <c r="L194" s="2"/>
      <c r="M194" s="156"/>
      <c r="O194" s="193"/>
      <c r="P194" s="25"/>
      <c r="Q194" s="25"/>
      <c r="U194" s="193"/>
      <c r="V194" s="3"/>
      <c r="W194" s="193"/>
      <c r="X194" s="3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s="117" customFormat="1" ht="13.5">
      <c r="A195" s="3"/>
      <c r="B195" s="30"/>
      <c r="C195" s="31"/>
      <c r="D195" s="2"/>
      <c r="E195" s="1"/>
      <c r="F195" s="1"/>
      <c r="G195" s="4"/>
      <c r="H195" s="4"/>
      <c r="I195" s="4"/>
      <c r="J195" s="4"/>
      <c r="K195" s="3"/>
      <c r="L195" s="2"/>
      <c r="M195" s="156"/>
      <c r="O195" s="193"/>
      <c r="P195" s="25"/>
      <c r="Q195" s="25"/>
      <c r="U195" s="193"/>
      <c r="V195" s="3"/>
      <c r="W195" s="193"/>
      <c r="X195" s="3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s="117" customFormat="1" ht="13.5">
      <c r="A196" s="3"/>
      <c r="B196" s="32"/>
      <c r="C196" s="33"/>
      <c r="D196" s="2"/>
      <c r="E196" s="1"/>
      <c r="F196" s="1"/>
      <c r="G196" s="4"/>
      <c r="H196" s="4"/>
      <c r="I196" s="4"/>
      <c r="J196" s="4"/>
      <c r="K196" s="3"/>
      <c r="L196" s="2"/>
      <c r="M196" s="156"/>
      <c r="O196" s="193"/>
      <c r="P196" s="25"/>
      <c r="Q196" s="25"/>
      <c r="U196" s="193"/>
      <c r="V196" s="3"/>
      <c r="W196" s="193"/>
      <c r="X196" s="3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s="117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56"/>
      <c r="O197" s="193"/>
      <c r="P197" s="25"/>
      <c r="Q197" s="25"/>
      <c r="U197" s="193"/>
      <c r="V197" s="3"/>
      <c r="W197" s="193"/>
      <c r="X197" s="3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s="117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56"/>
      <c r="O198" s="193"/>
      <c r="P198" s="25"/>
      <c r="Q198" s="25"/>
      <c r="U198" s="193"/>
      <c r="V198" s="3"/>
      <c r="W198" s="193"/>
      <c r="X198" s="3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s="117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56"/>
      <c r="O199" s="193"/>
      <c r="P199" s="25"/>
      <c r="Q199" s="25"/>
      <c r="U199" s="193"/>
      <c r="V199" s="3"/>
      <c r="W199" s="193"/>
      <c r="X199" s="3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s="117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56"/>
      <c r="O200" s="193"/>
      <c r="P200" s="25"/>
      <c r="Q200" s="25"/>
      <c r="U200" s="193"/>
      <c r="V200" s="3"/>
      <c r="W200" s="193"/>
      <c r="X200" s="3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</row>
    <row r="201" spans="1:35" s="117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56"/>
      <c r="O201" s="193"/>
      <c r="P201" s="25"/>
      <c r="Q201" s="25"/>
      <c r="U201" s="193"/>
      <c r="V201" s="3"/>
      <c r="W201" s="193"/>
      <c r="X201" s="3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s="117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56"/>
      <c r="O202" s="193"/>
      <c r="P202" s="25"/>
      <c r="Q202" s="25"/>
      <c r="U202" s="193"/>
      <c r="V202" s="3"/>
      <c r="W202" s="193"/>
      <c r="X202" s="3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s="117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56"/>
      <c r="O203" s="193"/>
      <c r="P203" s="25"/>
      <c r="Q203" s="25"/>
      <c r="U203" s="193"/>
      <c r="V203" s="3"/>
      <c r="W203" s="193"/>
      <c r="X203" s="3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s="117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56"/>
      <c r="O204" s="193"/>
      <c r="P204" s="25"/>
      <c r="Q204" s="25"/>
      <c r="U204" s="193"/>
      <c r="V204" s="3"/>
      <c r="W204" s="193"/>
      <c r="X204" s="3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s="117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56"/>
      <c r="O205" s="193"/>
      <c r="P205" s="25"/>
      <c r="Q205" s="25"/>
      <c r="U205" s="193"/>
      <c r="V205" s="3"/>
      <c r="W205" s="193"/>
      <c r="X205" s="3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s="117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56"/>
      <c r="O206" s="193"/>
      <c r="P206" s="25"/>
      <c r="Q206" s="25"/>
      <c r="U206" s="193"/>
      <c r="V206" s="3"/>
      <c r="W206" s="193"/>
      <c r="X206" s="3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s="117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56"/>
      <c r="O207" s="193"/>
      <c r="P207" s="25"/>
      <c r="Q207" s="25"/>
      <c r="U207" s="193"/>
      <c r="V207" s="3"/>
      <c r="W207" s="193"/>
      <c r="X207" s="3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s="117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56"/>
      <c r="O208" s="193"/>
      <c r="P208" s="25"/>
      <c r="Q208" s="25"/>
      <c r="U208" s="193"/>
      <c r="V208" s="3"/>
      <c r="W208" s="193"/>
      <c r="X208" s="3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s="117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56"/>
      <c r="O209" s="193"/>
      <c r="P209" s="25"/>
      <c r="Q209" s="25"/>
      <c r="U209" s="193"/>
      <c r="V209" s="3"/>
      <c r="W209" s="193"/>
      <c r="X209" s="3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s="117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56"/>
      <c r="O210" s="193"/>
      <c r="P210" s="25"/>
      <c r="Q210" s="25"/>
      <c r="U210" s="193"/>
      <c r="V210" s="3"/>
      <c r="W210" s="193"/>
      <c r="X210" s="3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s="117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56"/>
      <c r="O211" s="193"/>
      <c r="P211" s="25"/>
      <c r="Q211" s="25"/>
      <c r="U211" s="193"/>
      <c r="V211" s="3"/>
      <c r="W211" s="193"/>
      <c r="X211" s="3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s="117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56"/>
      <c r="O212" s="193"/>
      <c r="P212" s="25"/>
      <c r="Q212" s="25"/>
      <c r="U212" s="193"/>
      <c r="V212" s="3"/>
      <c r="W212" s="193"/>
      <c r="X212" s="3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s="117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56"/>
      <c r="O213" s="193"/>
      <c r="P213" s="25"/>
      <c r="Q213" s="25"/>
      <c r="U213" s="193"/>
      <c r="V213" s="3"/>
      <c r="W213" s="193"/>
      <c r="X213" s="3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s="117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56"/>
      <c r="O214" s="193"/>
      <c r="P214" s="25"/>
      <c r="Q214" s="25"/>
      <c r="U214" s="193"/>
      <c r="V214" s="3"/>
      <c r="W214" s="193"/>
      <c r="X214" s="3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s="117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56"/>
      <c r="O215" s="193"/>
      <c r="P215" s="25"/>
      <c r="Q215" s="25"/>
      <c r="U215" s="193"/>
      <c r="V215" s="3"/>
      <c r="W215" s="193"/>
      <c r="X215" s="3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s="117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56"/>
      <c r="O216" s="193"/>
      <c r="P216" s="25"/>
      <c r="Q216" s="25"/>
      <c r="U216" s="193"/>
      <c r="V216" s="3"/>
      <c r="W216" s="193"/>
      <c r="X216" s="3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s="117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56"/>
      <c r="O217" s="193"/>
      <c r="P217" s="25"/>
      <c r="Q217" s="25"/>
      <c r="U217" s="193"/>
      <c r="V217" s="3"/>
      <c r="W217" s="193"/>
      <c r="X217" s="3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</row>
    <row r="218" spans="1:35" s="117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56"/>
      <c r="O218" s="193"/>
      <c r="P218" s="25"/>
      <c r="Q218" s="25"/>
      <c r="U218" s="193"/>
      <c r="V218" s="3"/>
      <c r="W218" s="193"/>
      <c r="X218" s="3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s="117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56"/>
      <c r="O219" s="193"/>
      <c r="P219" s="25"/>
      <c r="Q219" s="25"/>
      <c r="U219" s="193"/>
      <c r="V219" s="3"/>
      <c r="W219" s="193"/>
      <c r="X219" s="3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s="117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56"/>
      <c r="O220" s="193"/>
      <c r="P220" s="25"/>
      <c r="Q220" s="25"/>
      <c r="U220" s="193"/>
      <c r="V220" s="3"/>
      <c r="W220" s="193"/>
      <c r="X220" s="3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7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56"/>
      <c r="O221" s="193"/>
      <c r="P221" s="25"/>
      <c r="Q221" s="25"/>
      <c r="U221" s="193"/>
      <c r="V221" s="3"/>
      <c r="W221" s="193"/>
      <c r="X221" s="3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s="117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56"/>
      <c r="O222" s="193"/>
      <c r="P222" s="25"/>
      <c r="Q222" s="25"/>
      <c r="U222" s="193"/>
      <c r="V222" s="3"/>
      <c r="W222" s="193"/>
      <c r="X222" s="3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s="117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56"/>
      <c r="O223" s="193"/>
      <c r="P223" s="25"/>
      <c r="Q223" s="25"/>
      <c r="U223" s="193"/>
      <c r="V223" s="3"/>
      <c r="W223" s="193"/>
      <c r="X223" s="3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s="117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56"/>
      <c r="O224" s="193"/>
      <c r="P224" s="25"/>
      <c r="Q224" s="25"/>
      <c r="U224" s="193"/>
      <c r="V224" s="3"/>
      <c r="W224" s="193"/>
      <c r="X224" s="3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s="117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56"/>
      <c r="O225" s="193"/>
      <c r="P225" s="25"/>
      <c r="Q225" s="25"/>
      <c r="U225" s="193"/>
      <c r="V225" s="3"/>
      <c r="W225" s="193"/>
      <c r="X225" s="3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s="117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56"/>
      <c r="O226" s="193"/>
      <c r="P226" s="25"/>
      <c r="Q226" s="25"/>
      <c r="U226" s="193"/>
      <c r="V226" s="3"/>
      <c r="W226" s="193"/>
      <c r="X226" s="3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s="117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56"/>
      <c r="O227" s="193"/>
      <c r="P227" s="25"/>
      <c r="Q227" s="25"/>
      <c r="U227" s="193"/>
      <c r="V227" s="3"/>
      <c r="W227" s="193"/>
      <c r="X227" s="3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</row>
    <row r="228" spans="1:35" s="117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56"/>
      <c r="O228" s="193"/>
      <c r="P228" s="25"/>
      <c r="Q228" s="25"/>
      <c r="U228" s="193"/>
      <c r="V228" s="3"/>
      <c r="W228" s="193"/>
      <c r="X228" s="3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s="117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2"/>
      <c r="M229" s="156"/>
      <c r="O229" s="193"/>
      <c r="P229" s="25"/>
      <c r="Q229" s="25"/>
      <c r="U229" s="193"/>
      <c r="V229" s="3"/>
      <c r="W229" s="193"/>
      <c r="X229" s="3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s="117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56"/>
      <c r="O230" s="193"/>
      <c r="P230" s="25"/>
      <c r="Q230" s="25"/>
      <c r="U230" s="193"/>
      <c r="V230" s="3"/>
      <c r="W230" s="193"/>
      <c r="X230" s="3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s="117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56"/>
      <c r="O231" s="193"/>
      <c r="P231" s="25"/>
      <c r="Q231" s="25"/>
      <c r="U231" s="193"/>
      <c r="V231" s="3"/>
      <c r="W231" s="193"/>
      <c r="X231" s="3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s="117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56"/>
      <c r="O232" s="193"/>
      <c r="P232" s="25"/>
      <c r="Q232" s="25"/>
      <c r="U232" s="193"/>
      <c r="V232" s="3"/>
      <c r="W232" s="193"/>
      <c r="X232" s="3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s="117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56"/>
      <c r="O233" s="193"/>
      <c r="P233" s="25"/>
      <c r="Q233" s="25"/>
      <c r="U233" s="193"/>
      <c r="V233" s="3"/>
      <c r="W233" s="193"/>
      <c r="X233" s="3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s="117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56"/>
      <c r="O234" s="193"/>
      <c r="P234" s="25"/>
      <c r="Q234" s="25"/>
      <c r="U234" s="193"/>
      <c r="V234" s="3"/>
      <c r="W234" s="193"/>
      <c r="X234" s="3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2:13" ht="13.5">
      <c r="L235" s="2"/>
      <c r="M235" s="156"/>
    </row>
  </sheetData>
  <sheetProtection/>
  <mergeCells count="107">
    <mergeCell ref="R173:W173"/>
    <mergeCell ref="R174:W174"/>
    <mergeCell ref="R166:W166"/>
    <mergeCell ref="R168:W168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R7:R9"/>
    <mergeCell ref="S7:S9"/>
    <mergeCell ref="T7:T9"/>
    <mergeCell ref="U7:U9"/>
    <mergeCell ref="A25:A26"/>
    <mergeCell ref="B25:B26"/>
    <mergeCell ref="C25:C26"/>
    <mergeCell ref="D25:D26"/>
    <mergeCell ref="E25:E26"/>
    <mergeCell ref="F25:F26"/>
    <mergeCell ref="R6:U6"/>
    <mergeCell ref="V6:V9"/>
    <mergeCell ref="W6:W9"/>
    <mergeCell ref="X6:X9"/>
    <mergeCell ref="G7:G9"/>
    <mergeCell ref="H7:H9"/>
    <mergeCell ref="I7:I9"/>
    <mergeCell ref="N7:N9"/>
    <mergeCell ref="O7:O9"/>
    <mergeCell ref="P7:P9"/>
    <mergeCell ref="J6:J9"/>
    <mergeCell ref="K6:K9"/>
    <mergeCell ref="L6:L9"/>
    <mergeCell ref="M6:M9"/>
    <mergeCell ref="N6:O6"/>
    <mergeCell ref="P6:Q6"/>
    <mergeCell ref="Q7:Q9"/>
    <mergeCell ref="A1:X1"/>
    <mergeCell ref="A2:X2"/>
    <mergeCell ref="A3:X3"/>
    <mergeCell ref="A6:A9"/>
    <mergeCell ref="B6:B9"/>
    <mergeCell ref="C6:C9"/>
    <mergeCell ref="D6:D9"/>
    <mergeCell ref="E6:E9"/>
    <mergeCell ref="F6:F9"/>
    <mergeCell ref="G6:I6"/>
  </mergeCells>
  <printOptions/>
  <pageMargins left="0.7874015748031497" right="1.1811023622047245" top="0" bottom="0" header="0.1968503937007874" footer="0.31496062992125984"/>
  <pageSetup horizontalDpi="300" verticalDpi="3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121" sqref="R121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6.421875" style="3" customWidth="1"/>
    <col min="4" max="4" width="4.421875" style="3" customWidth="1"/>
    <col min="5" max="5" width="3.7109375" style="3" customWidth="1"/>
    <col min="6" max="6" width="4.8515625" style="3" customWidth="1"/>
    <col min="7" max="7" width="3.7109375" style="3" customWidth="1"/>
    <col min="8" max="8" width="3.8515625" style="3" customWidth="1"/>
    <col min="9" max="9" width="3.7109375" style="3" hidden="1" customWidth="1"/>
    <col min="10" max="10" width="13.57421875" style="3" customWidth="1"/>
    <col min="11" max="11" width="4.7109375" style="3" customWidth="1"/>
    <col min="12" max="12" width="3.28125" style="3" customWidth="1"/>
    <col min="13" max="13" width="7.57421875" style="157" customWidth="1"/>
    <col min="14" max="14" width="12.140625" style="117" customWidth="1"/>
    <col min="15" max="15" width="4.57421875" style="193" customWidth="1"/>
    <col min="16" max="16" width="5.421875" style="25" customWidth="1"/>
    <col min="17" max="17" width="5.28125" style="25" customWidth="1"/>
    <col min="18" max="18" width="11.421875" style="117" customWidth="1"/>
    <col min="19" max="19" width="12.140625" style="117" customWidth="1"/>
    <col min="20" max="20" width="12.7109375" style="117" customWidth="1"/>
    <col min="21" max="21" width="6.28125" style="193" customWidth="1"/>
    <col min="22" max="22" width="12.7109375" style="3" customWidth="1"/>
    <col min="23" max="23" width="8.28125" style="193" customWidth="1"/>
    <col min="24" max="24" width="4.28125" style="3" customWidth="1"/>
    <col min="25" max="25" width="14.28125" style="40" customWidth="1"/>
    <col min="26" max="26" width="10.28125" style="40" customWidth="1"/>
    <col min="27" max="27" width="12.421875" style="40" customWidth="1"/>
    <col min="28" max="30" width="9.140625" style="40" customWidth="1"/>
    <col min="31" max="31" width="10.421875" style="40" customWidth="1"/>
    <col min="32" max="35" width="9.140625" style="40" customWidth="1"/>
    <col min="36" max="16384" width="9.140625" style="3" customWidth="1"/>
  </cols>
  <sheetData>
    <row r="1" spans="1:35" s="24" customFormat="1" ht="15.75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51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4" s="24" customFormat="1" ht="15.75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5" s="24" customFormat="1" ht="15.75">
      <c r="A3" s="322" t="s">
        <v>312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51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4" customFormat="1" ht="15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5"/>
      <c r="P4" s="178"/>
      <c r="Q4" s="178"/>
      <c r="R4" s="278"/>
      <c r="S4" s="278"/>
      <c r="T4" s="278"/>
      <c r="U4" s="185"/>
      <c r="V4" s="178"/>
      <c r="W4" s="185"/>
      <c r="X4" s="178"/>
      <c r="Y4" s="151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4" customFormat="1" ht="16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2"/>
      <c r="O5" s="186"/>
      <c r="P5" s="152"/>
      <c r="Q5" s="152"/>
      <c r="R5" s="278"/>
      <c r="S5" s="278"/>
      <c r="T5" s="278"/>
      <c r="U5" s="185"/>
      <c r="V5" s="178"/>
      <c r="W5" s="186"/>
      <c r="X5" s="178"/>
      <c r="Y5" s="151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5" customFormat="1" ht="13.5" customHeight="1">
      <c r="A6" s="323" t="s">
        <v>0</v>
      </c>
      <c r="B6" s="323" t="s">
        <v>27</v>
      </c>
      <c r="C6" s="323" t="s">
        <v>10</v>
      </c>
      <c r="D6" s="323" t="s">
        <v>29</v>
      </c>
      <c r="E6" s="323" t="s">
        <v>36</v>
      </c>
      <c r="F6" s="323" t="s">
        <v>21</v>
      </c>
      <c r="G6" s="326" t="s">
        <v>1</v>
      </c>
      <c r="H6" s="327"/>
      <c r="I6" s="328"/>
      <c r="J6" s="323" t="s">
        <v>158</v>
      </c>
      <c r="K6" s="323" t="s">
        <v>300</v>
      </c>
      <c r="L6" s="323" t="s">
        <v>14</v>
      </c>
      <c r="M6" s="323" t="s">
        <v>26</v>
      </c>
      <c r="N6" s="329" t="s">
        <v>2</v>
      </c>
      <c r="O6" s="330"/>
      <c r="P6" s="331" t="s">
        <v>38</v>
      </c>
      <c r="Q6" s="332"/>
      <c r="R6" s="331" t="s">
        <v>32</v>
      </c>
      <c r="S6" s="334"/>
      <c r="T6" s="334"/>
      <c r="U6" s="334"/>
      <c r="V6" s="323" t="s">
        <v>35</v>
      </c>
      <c r="W6" s="335" t="s">
        <v>33</v>
      </c>
      <c r="X6" s="323" t="s">
        <v>34</v>
      </c>
      <c r="Y6" s="153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25" customFormat="1" ht="13.5">
      <c r="A7" s="324"/>
      <c r="B7" s="324"/>
      <c r="C7" s="324"/>
      <c r="D7" s="324"/>
      <c r="E7" s="324"/>
      <c r="F7" s="324"/>
      <c r="G7" s="333" t="s">
        <v>11</v>
      </c>
      <c r="H7" s="333" t="s">
        <v>12</v>
      </c>
      <c r="I7" s="333" t="s">
        <v>13</v>
      </c>
      <c r="J7" s="324"/>
      <c r="K7" s="324"/>
      <c r="L7" s="324"/>
      <c r="M7" s="324"/>
      <c r="N7" s="338" t="s">
        <v>30</v>
      </c>
      <c r="O7" s="341" t="s">
        <v>31</v>
      </c>
      <c r="P7" s="333" t="s">
        <v>3</v>
      </c>
      <c r="Q7" s="333" t="s">
        <v>23</v>
      </c>
      <c r="R7" s="342" t="s">
        <v>24</v>
      </c>
      <c r="S7" s="342" t="s">
        <v>25</v>
      </c>
      <c r="T7" s="342" t="s">
        <v>15</v>
      </c>
      <c r="U7" s="345" t="s">
        <v>4</v>
      </c>
      <c r="V7" s="324"/>
      <c r="W7" s="336"/>
      <c r="X7" s="324"/>
      <c r="Y7" s="153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25" customFormat="1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39"/>
      <c r="O8" s="336"/>
      <c r="P8" s="324"/>
      <c r="Q8" s="324"/>
      <c r="R8" s="343"/>
      <c r="S8" s="343"/>
      <c r="T8" s="343"/>
      <c r="U8" s="346"/>
      <c r="V8" s="324"/>
      <c r="W8" s="336"/>
      <c r="X8" s="324"/>
      <c r="Y8" s="153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5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40"/>
      <c r="O9" s="337"/>
      <c r="P9" s="325"/>
      <c r="Q9" s="325"/>
      <c r="R9" s="344"/>
      <c r="S9" s="344"/>
      <c r="T9" s="344"/>
      <c r="U9" s="347"/>
      <c r="V9" s="325"/>
      <c r="W9" s="337"/>
      <c r="X9" s="325"/>
      <c r="Y9" s="153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27" customFormat="1" ht="13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/>
      <c r="K10" s="167">
        <v>11</v>
      </c>
      <c r="L10" s="167">
        <v>12</v>
      </c>
      <c r="M10" s="223">
        <v>13</v>
      </c>
      <c r="N10" s="224">
        <v>14</v>
      </c>
      <c r="O10" s="225">
        <v>15</v>
      </c>
      <c r="P10" s="167">
        <v>16</v>
      </c>
      <c r="Q10" s="167">
        <v>17</v>
      </c>
      <c r="R10" s="224">
        <v>18</v>
      </c>
      <c r="S10" s="224">
        <v>19</v>
      </c>
      <c r="T10" s="224">
        <v>20</v>
      </c>
      <c r="U10" s="225">
        <v>21</v>
      </c>
      <c r="V10" s="167">
        <v>22</v>
      </c>
      <c r="W10" s="225">
        <v>23</v>
      </c>
      <c r="X10" s="167">
        <v>24</v>
      </c>
      <c r="Y10" s="226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25" s="43" customFormat="1" ht="13.5" customHeight="1">
      <c r="A11" s="228" t="s">
        <v>18</v>
      </c>
      <c r="B11" s="229" t="s">
        <v>163</v>
      </c>
      <c r="C11" s="228"/>
      <c r="D11" s="228"/>
      <c r="E11" s="228"/>
      <c r="F11" s="228"/>
      <c r="G11" s="228"/>
      <c r="H11" s="228"/>
      <c r="I11" s="228"/>
      <c r="J11" s="230">
        <f>J12+J24</f>
        <v>11246303956</v>
      </c>
      <c r="K11" s="230"/>
      <c r="L11" s="230"/>
      <c r="M11" s="230"/>
      <c r="N11" s="230">
        <f>N12+N24</f>
        <v>3145006730</v>
      </c>
      <c r="O11" s="231">
        <f>N11/J11*100</f>
        <v>27.964802857049865</v>
      </c>
      <c r="P11" s="230"/>
      <c r="Q11" s="230"/>
      <c r="R11" s="230">
        <f>R12+R24</f>
        <v>566327867</v>
      </c>
      <c r="S11" s="230">
        <f>S12+S24</f>
        <v>106094632</v>
      </c>
      <c r="T11" s="230">
        <f>T12+T24</f>
        <v>672422499</v>
      </c>
      <c r="U11" s="231">
        <f>T11/N11*100</f>
        <v>21.38063784047928</v>
      </c>
      <c r="V11" s="230">
        <f>V12+V24</f>
        <v>10573881457</v>
      </c>
      <c r="W11" s="231">
        <f>V11/J11*100</f>
        <v>94.02094677833016</v>
      </c>
      <c r="X11" s="230"/>
      <c r="Y11" s="226"/>
    </row>
    <row r="12" spans="1:25" s="43" customFormat="1" ht="13.5" customHeight="1">
      <c r="A12" s="232"/>
      <c r="B12" s="233" t="s">
        <v>164</v>
      </c>
      <c r="C12" s="234"/>
      <c r="D12" s="234"/>
      <c r="E12" s="234"/>
      <c r="F12" s="234"/>
      <c r="G12" s="232"/>
      <c r="H12" s="232"/>
      <c r="I12" s="232"/>
      <c r="J12" s="235">
        <f>J13</f>
        <v>767318206</v>
      </c>
      <c r="K12" s="235"/>
      <c r="L12" s="235"/>
      <c r="M12" s="235"/>
      <c r="N12" s="235">
        <f>N13</f>
        <v>128460500</v>
      </c>
      <c r="O12" s="236">
        <f aca="true" t="shared" si="0" ref="O12:O23">N12/J12*100</f>
        <v>16.74148990542784</v>
      </c>
      <c r="P12" s="235"/>
      <c r="Q12" s="235"/>
      <c r="R12" s="235">
        <f>R13</f>
        <v>61994632</v>
      </c>
      <c r="S12" s="235">
        <f>S13</f>
        <v>11994632</v>
      </c>
      <c r="T12" s="235">
        <f>T13</f>
        <v>73989264</v>
      </c>
      <c r="U12" s="236">
        <f>T12/N12*100</f>
        <v>57.596898657564</v>
      </c>
      <c r="V12" s="235">
        <f>V13</f>
        <v>693328942</v>
      </c>
      <c r="W12" s="236">
        <f aca="true" t="shared" si="1" ref="W12:W23">V12/J12*100</f>
        <v>90.35742102540442</v>
      </c>
      <c r="X12" s="235"/>
      <c r="Y12" s="226"/>
    </row>
    <row r="13" spans="1:25" s="43" customFormat="1" ht="13.5" customHeight="1">
      <c r="A13" s="237"/>
      <c r="B13" s="238" t="s">
        <v>83</v>
      </c>
      <c r="C13" s="237"/>
      <c r="D13" s="237"/>
      <c r="E13" s="237"/>
      <c r="F13" s="237"/>
      <c r="G13" s="237"/>
      <c r="H13" s="237"/>
      <c r="I13" s="237"/>
      <c r="J13" s="239">
        <f>J14+J22</f>
        <v>767318206</v>
      </c>
      <c r="K13" s="239"/>
      <c r="L13" s="239"/>
      <c r="M13" s="239"/>
      <c r="N13" s="239">
        <f>N14+N22</f>
        <v>128460500</v>
      </c>
      <c r="O13" s="240">
        <f t="shared" si="0"/>
        <v>16.74148990542784</v>
      </c>
      <c r="P13" s="239"/>
      <c r="Q13" s="239"/>
      <c r="R13" s="239">
        <f>R14+R22</f>
        <v>61994632</v>
      </c>
      <c r="S13" s="239">
        <f>S14+S22</f>
        <v>11994632</v>
      </c>
      <c r="T13" s="239">
        <f>T14+T22</f>
        <v>73989264</v>
      </c>
      <c r="U13" s="240">
        <f>T13/N13*100</f>
        <v>57.596898657564</v>
      </c>
      <c r="V13" s="239">
        <f>V14+V22</f>
        <v>693328942</v>
      </c>
      <c r="W13" s="240">
        <f t="shared" si="1"/>
        <v>90.35742102540442</v>
      </c>
      <c r="X13" s="239"/>
      <c r="Y13" s="226"/>
    </row>
    <row r="14" spans="1:25" s="43" customFormat="1" ht="13.5" customHeight="1">
      <c r="A14" s="241"/>
      <c r="B14" s="242" t="s">
        <v>165</v>
      </c>
      <c r="C14" s="276" t="s">
        <v>301</v>
      </c>
      <c r="D14" s="241" t="s">
        <v>175</v>
      </c>
      <c r="E14" s="241">
        <v>12</v>
      </c>
      <c r="F14" s="241" t="s">
        <v>176</v>
      </c>
      <c r="G14" s="10" t="s">
        <v>28</v>
      </c>
      <c r="H14" s="102" t="s">
        <v>5</v>
      </c>
      <c r="I14" s="241"/>
      <c r="J14" s="243">
        <f>SUM(J15:J21)</f>
        <v>167318206</v>
      </c>
      <c r="K14" s="241"/>
      <c r="L14" s="241"/>
      <c r="M14" s="105"/>
      <c r="N14" s="244">
        <f>SUM(N15:N21)</f>
        <v>28460500</v>
      </c>
      <c r="O14" s="245">
        <f t="shared" si="0"/>
        <v>17.009804659273005</v>
      </c>
      <c r="P14" s="170" t="s">
        <v>139</v>
      </c>
      <c r="Q14" s="170" t="s">
        <v>141</v>
      </c>
      <c r="R14" s="244">
        <f>SUM(R15:R21)</f>
        <v>11994632</v>
      </c>
      <c r="S14" s="244">
        <f>SUM(S15:S21)</f>
        <v>11994632</v>
      </c>
      <c r="T14" s="244">
        <f>SUM(T15:T21)</f>
        <v>23989264</v>
      </c>
      <c r="U14" s="245">
        <f aca="true" t="shared" si="2" ref="U14:U23">T14/N14*100</f>
        <v>84.28967867746526</v>
      </c>
      <c r="V14" s="244">
        <f>SUM(V15:V21)</f>
        <v>143328942</v>
      </c>
      <c r="W14" s="245">
        <f t="shared" si="1"/>
        <v>85.66249030903427</v>
      </c>
      <c r="X14" s="244"/>
      <c r="Y14" s="226"/>
    </row>
    <row r="15" spans="1:25" s="44" customFormat="1" ht="13.5" customHeight="1">
      <c r="A15" s="246"/>
      <c r="B15" s="247" t="s">
        <v>166</v>
      </c>
      <c r="C15" s="277" t="s">
        <v>134</v>
      </c>
      <c r="D15" s="246" t="s">
        <v>175</v>
      </c>
      <c r="E15" s="246">
        <v>12</v>
      </c>
      <c r="F15" s="246" t="s">
        <v>176</v>
      </c>
      <c r="G15" s="9" t="s">
        <v>28</v>
      </c>
      <c r="H15" s="5" t="s">
        <v>5</v>
      </c>
      <c r="I15" s="246"/>
      <c r="J15" s="248">
        <v>54600000</v>
      </c>
      <c r="K15" s="246"/>
      <c r="L15" s="246"/>
      <c r="M15" s="7" t="s">
        <v>78</v>
      </c>
      <c r="N15" s="249">
        <f>3900000+3900000</f>
        <v>7800000</v>
      </c>
      <c r="O15" s="250">
        <f>N15/J15*100</f>
        <v>14.285714285714285</v>
      </c>
      <c r="P15" s="91" t="s">
        <v>139</v>
      </c>
      <c r="Q15" s="91" t="s">
        <v>141</v>
      </c>
      <c r="R15" s="249">
        <v>3900000</v>
      </c>
      <c r="S15" s="249">
        <v>3900000</v>
      </c>
      <c r="T15" s="249">
        <f aca="true" t="shared" si="3" ref="T15:T21">R15+S15</f>
        <v>7800000</v>
      </c>
      <c r="U15" s="250">
        <f t="shared" si="2"/>
        <v>100</v>
      </c>
      <c r="V15" s="251">
        <f>J15-T15</f>
        <v>46800000</v>
      </c>
      <c r="W15" s="250">
        <f t="shared" si="1"/>
        <v>85.71428571428571</v>
      </c>
      <c r="X15" s="246"/>
      <c r="Y15" s="252"/>
    </row>
    <row r="16" spans="1:25" s="44" customFormat="1" ht="13.5" customHeight="1">
      <c r="A16" s="246"/>
      <c r="B16" s="247" t="s">
        <v>167</v>
      </c>
      <c r="C16" s="277" t="s">
        <v>108</v>
      </c>
      <c r="D16" s="246" t="s">
        <v>175</v>
      </c>
      <c r="E16" s="246">
        <v>12</v>
      </c>
      <c r="F16" s="246" t="s">
        <v>176</v>
      </c>
      <c r="G16" s="9" t="s">
        <v>28</v>
      </c>
      <c r="H16" s="5" t="s">
        <v>5</v>
      </c>
      <c r="I16" s="246"/>
      <c r="J16" s="248">
        <v>7140000</v>
      </c>
      <c r="K16" s="246"/>
      <c r="L16" s="246"/>
      <c r="M16" s="7" t="s">
        <v>78</v>
      </c>
      <c r="N16" s="249">
        <f>510000+5100000</f>
        <v>5610000</v>
      </c>
      <c r="O16" s="250">
        <f t="shared" si="0"/>
        <v>78.57142857142857</v>
      </c>
      <c r="P16" s="91" t="s">
        <v>139</v>
      </c>
      <c r="Q16" s="91" t="s">
        <v>141</v>
      </c>
      <c r="R16" s="249">
        <v>510000</v>
      </c>
      <c r="S16" s="249">
        <v>510000</v>
      </c>
      <c r="T16" s="249">
        <f t="shared" si="3"/>
        <v>1020000</v>
      </c>
      <c r="U16" s="250">
        <f t="shared" si="2"/>
        <v>18.181818181818183</v>
      </c>
      <c r="V16" s="251">
        <f aca="true" t="shared" si="4" ref="V16:V23">J16-T16</f>
        <v>6120000</v>
      </c>
      <c r="W16" s="250">
        <f t="shared" si="1"/>
        <v>85.71428571428571</v>
      </c>
      <c r="X16" s="246"/>
      <c r="Y16" s="252"/>
    </row>
    <row r="17" spans="1:25" s="44" customFormat="1" ht="13.5" customHeight="1">
      <c r="A17" s="246"/>
      <c r="B17" s="247" t="s">
        <v>168</v>
      </c>
      <c r="C17" s="277" t="s">
        <v>267</v>
      </c>
      <c r="D17" s="246" t="s">
        <v>175</v>
      </c>
      <c r="E17" s="246">
        <v>12</v>
      </c>
      <c r="F17" s="246" t="s">
        <v>176</v>
      </c>
      <c r="G17" s="9" t="s">
        <v>28</v>
      </c>
      <c r="H17" s="5" t="s">
        <v>5</v>
      </c>
      <c r="I17" s="246"/>
      <c r="J17" s="248">
        <v>98280000</v>
      </c>
      <c r="K17" s="246"/>
      <c r="L17" s="246"/>
      <c r="M17" s="7" t="s">
        <v>78</v>
      </c>
      <c r="N17" s="249">
        <f>7020000+7020000</f>
        <v>14040000</v>
      </c>
      <c r="O17" s="250">
        <f t="shared" si="0"/>
        <v>14.285714285714285</v>
      </c>
      <c r="P17" s="91" t="s">
        <v>139</v>
      </c>
      <c r="Q17" s="91" t="s">
        <v>141</v>
      </c>
      <c r="R17" s="249">
        <v>7020000</v>
      </c>
      <c r="S17" s="249">
        <v>7020000</v>
      </c>
      <c r="T17" s="249">
        <f t="shared" si="3"/>
        <v>14040000</v>
      </c>
      <c r="U17" s="250">
        <f t="shared" si="2"/>
        <v>100</v>
      </c>
      <c r="V17" s="251">
        <f t="shared" si="4"/>
        <v>84240000</v>
      </c>
      <c r="W17" s="250">
        <f t="shared" si="1"/>
        <v>85.71428571428571</v>
      </c>
      <c r="X17" s="246"/>
      <c r="Y17" s="252"/>
    </row>
    <row r="18" spans="1:25" s="44" customFormat="1" ht="13.5" customHeight="1">
      <c r="A18" s="246"/>
      <c r="B18" s="247" t="s">
        <v>169</v>
      </c>
      <c r="C18" s="277" t="s">
        <v>267</v>
      </c>
      <c r="D18" s="246" t="s">
        <v>175</v>
      </c>
      <c r="E18" s="246">
        <v>12</v>
      </c>
      <c r="F18" s="246" t="s">
        <v>176</v>
      </c>
      <c r="G18" s="9" t="s">
        <v>28</v>
      </c>
      <c r="H18" s="5" t="s">
        <v>5</v>
      </c>
      <c r="I18" s="246"/>
      <c r="J18" s="248">
        <v>6144110</v>
      </c>
      <c r="K18" s="246"/>
      <c r="L18" s="246"/>
      <c r="M18" s="7" t="s">
        <v>78</v>
      </c>
      <c r="N18" s="249">
        <f>438865+438856</f>
        <v>877721</v>
      </c>
      <c r="O18" s="250">
        <f t="shared" si="0"/>
        <v>14.285567803961843</v>
      </c>
      <c r="P18" s="91" t="s">
        <v>139</v>
      </c>
      <c r="Q18" s="91" t="s">
        <v>141</v>
      </c>
      <c r="R18" s="249">
        <v>506940</v>
      </c>
      <c r="S18" s="249">
        <v>506940</v>
      </c>
      <c r="T18" s="249">
        <f t="shared" si="3"/>
        <v>1013880</v>
      </c>
      <c r="U18" s="250">
        <f>T18/N18*100</f>
        <v>115.51278823225148</v>
      </c>
      <c r="V18" s="251">
        <f t="shared" si="4"/>
        <v>5130230</v>
      </c>
      <c r="W18" s="250">
        <f t="shared" si="1"/>
        <v>83.49834231483486</v>
      </c>
      <c r="X18" s="246"/>
      <c r="Y18" s="252"/>
    </row>
    <row r="19" spans="1:25" s="44" customFormat="1" ht="13.5" customHeight="1">
      <c r="A19" s="246"/>
      <c r="B19" s="247" t="s">
        <v>170</v>
      </c>
      <c r="C19" s="277" t="s">
        <v>302</v>
      </c>
      <c r="D19" s="246" t="s">
        <v>175</v>
      </c>
      <c r="E19" s="246">
        <v>12</v>
      </c>
      <c r="F19" s="246" t="s">
        <v>176</v>
      </c>
      <c r="G19" s="9" t="s">
        <v>28</v>
      </c>
      <c r="H19" s="5" t="s">
        <v>5</v>
      </c>
      <c r="I19" s="246"/>
      <c r="J19" s="248">
        <v>703976</v>
      </c>
      <c r="K19" s="246"/>
      <c r="L19" s="246"/>
      <c r="M19" s="7" t="s">
        <v>78</v>
      </c>
      <c r="N19" s="249">
        <f>50284+50284</f>
        <v>100568</v>
      </c>
      <c r="O19" s="250">
        <f t="shared" si="0"/>
        <v>14.285714285714285</v>
      </c>
      <c r="P19" s="91" t="s">
        <v>139</v>
      </c>
      <c r="Q19" s="91" t="s">
        <v>141</v>
      </c>
      <c r="R19" s="249">
        <v>20092</v>
      </c>
      <c r="S19" s="249">
        <v>20092</v>
      </c>
      <c r="T19" s="249">
        <f t="shared" si="3"/>
        <v>40184</v>
      </c>
      <c r="U19" s="250">
        <f t="shared" si="2"/>
        <v>39.95704399013603</v>
      </c>
      <c r="V19" s="251">
        <f t="shared" si="4"/>
        <v>663792</v>
      </c>
      <c r="W19" s="250">
        <f t="shared" si="1"/>
        <v>94.291850858552</v>
      </c>
      <c r="X19" s="246"/>
      <c r="Y19" s="252"/>
    </row>
    <row r="20" spans="1:25" s="44" customFormat="1" ht="13.5" customHeight="1">
      <c r="A20" s="246"/>
      <c r="B20" s="247" t="s">
        <v>171</v>
      </c>
      <c r="C20" s="277" t="s">
        <v>268</v>
      </c>
      <c r="D20" s="246" t="s">
        <v>175</v>
      </c>
      <c r="E20" s="246">
        <v>12</v>
      </c>
      <c r="F20" s="246" t="s">
        <v>176</v>
      </c>
      <c r="G20" s="9" t="s">
        <v>28</v>
      </c>
      <c r="H20" s="5" t="s">
        <v>5</v>
      </c>
      <c r="I20" s="246"/>
      <c r="J20" s="248">
        <v>840</v>
      </c>
      <c r="K20" s="246"/>
      <c r="L20" s="246"/>
      <c r="M20" s="7" t="s">
        <v>78</v>
      </c>
      <c r="N20" s="249">
        <f>60+60</f>
        <v>120</v>
      </c>
      <c r="O20" s="250">
        <f t="shared" si="0"/>
        <v>14.285714285714285</v>
      </c>
      <c r="P20" s="91" t="s">
        <v>139</v>
      </c>
      <c r="Q20" s="91" t="s">
        <v>141</v>
      </c>
      <c r="R20" s="249">
        <v>160</v>
      </c>
      <c r="S20" s="249">
        <v>160</v>
      </c>
      <c r="T20" s="249">
        <f t="shared" si="3"/>
        <v>320</v>
      </c>
      <c r="U20" s="250">
        <f t="shared" si="2"/>
        <v>266.66666666666663</v>
      </c>
      <c r="V20" s="251">
        <f t="shared" si="4"/>
        <v>520</v>
      </c>
      <c r="W20" s="250">
        <f t="shared" si="1"/>
        <v>61.904761904761905</v>
      </c>
      <c r="X20" s="246"/>
      <c r="Y20" s="252"/>
    </row>
    <row r="21" spans="1:25" s="44" customFormat="1" ht="22.5" customHeight="1">
      <c r="A21" s="246"/>
      <c r="B21" s="247" t="s">
        <v>172</v>
      </c>
      <c r="C21" s="277" t="s">
        <v>303</v>
      </c>
      <c r="D21" s="246" t="s">
        <v>175</v>
      </c>
      <c r="E21" s="246">
        <v>12</v>
      </c>
      <c r="F21" s="246" t="s">
        <v>176</v>
      </c>
      <c r="G21" s="9" t="s">
        <v>28</v>
      </c>
      <c r="H21" s="5" t="s">
        <v>5</v>
      </c>
      <c r="I21" s="246"/>
      <c r="J21" s="248">
        <v>449280</v>
      </c>
      <c r="K21" s="246"/>
      <c r="L21" s="246"/>
      <c r="M21" s="7" t="s">
        <v>78</v>
      </c>
      <c r="N21" s="249">
        <v>32091</v>
      </c>
      <c r="O21" s="250">
        <f t="shared" si="0"/>
        <v>7.142761752136752</v>
      </c>
      <c r="P21" s="91" t="s">
        <v>139</v>
      </c>
      <c r="Q21" s="91" t="s">
        <v>141</v>
      </c>
      <c r="R21" s="249">
        <v>37440</v>
      </c>
      <c r="S21" s="249">
        <v>37440</v>
      </c>
      <c r="T21" s="249">
        <f t="shared" si="3"/>
        <v>74880</v>
      </c>
      <c r="U21" s="250">
        <f t="shared" si="2"/>
        <v>233.33644947181452</v>
      </c>
      <c r="V21" s="251">
        <f t="shared" si="4"/>
        <v>374400</v>
      </c>
      <c r="W21" s="250">
        <f t="shared" si="1"/>
        <v>83.33333333333334</v>
      </c>
      <c r="X21" s="246"/>
      <c r="Y21" s="252"/>
    </row>
    <row r="22" spans="1:25" s="259" customFormat="1" ht="26.25" customHeight="1">
      <c r="A22" s="219"/>
      <c r="B22" s="253" t="s">
        <v>173</v>
      </c>
      <c r="C22" s="218" t="s">
        <v>227</v>
      </c>
      <c r="D22" s="219" t="s">
        <v>175</v>
      </c>
      <c r="E22" s="219">
        <v>12</v>
      </c>
      <c r="F22" s="219" t="s">
        <v>176</v>
      </c>
      <c r="G22" s="206" t="s">
        <v>28</v>
      </c>
      <c r="H22" s="207" t="s">
        <v>5</v>
      </c>
      <c r="I22" s="219"/>
      <c r="J22" s="254">
        <v>600000000</v>
      </c>
      <c r="K22" s="219"/>
      <c r="L22" s="219"/>
      <c r="M22" s="255"/>
      <c r="N22" s="256">
        <f>SUM(N23)</f>
        <v>100000000</v>
      </c>
      <c r="O22" s="257">
        <f t="shared" si="0"/>
        <v>16.666666666666664</v>
      </c>
      <c r="P22" s="275" t="s">
        <v>139</v>
      </c>
      <c r="Q22" s="275" t="s">
        <v>141</v>
      </c>
      <c r="R22" s="256">
        <f>SUM(R23)</f>
        <v>50000000</v>
      </c>
      <c r="S22" s="256">
        <f>SUM(S23)</f>
        <v>0</v>
      </c>
      <c r="T22" s="256">
        <f>SUM(T23)</f>
        <v>50000000</v>
      </c>
      <c r="U22" s="257">
        <f t="shared" si="2"/>
        <v>50</v>
      </c>
      <c r="V22" s="256">
        <f>SUM(V23)</f>
        <v>550000000</v>
      </c>
      <c r="W22" s="257">
        <f t="shared" si="1"/>
        <v>91.66666666666666</v>
      </c>
      <c r="X22" s="256"/>
      <c r="Y22" s="258"/>
    </row>
    <row r="23" spans="1:25" s="298" customFormat="1" ht="24" customHeight="1">
      <c r="A23" s="284"/>
      <c r="B23" s="285" t="s">
        <v>174</v>
      </c>
      <c r="C23" s="286" t="s">
        <v>207</v>
      </c>
      <c r="D23" s="287" t="s">
        <v>175</v>
      </c>
      <c r="E23" s="284">
        <v>12</v>
      </c>
      <c r="F23" s="287" t="s">
        <v>176</v>
      </c>
      <c r="G23" s="288" t="s">
        <v>28</v>
      </c>
      <c r="H23" s="289" t="s">
        <v>5</v>
      </c>
      <c r="I23" s="284"/>
      <c r="J23" s="290">
        <v>600000000</v>
      </c>
      <c r="K23" s="284"/>
      <c r="L23" s="284"/>
      <c r="M23" s="291" t="s">
        <v>78</v>
      </c>
      <c r="N23" s="292">
        <f>50000000+50000000</f>
        <v>100000000</v>
      </c>
      <c r="O23" s="293">
        <f t="shared" si="0"/>
        <v>16.666666666666664</v>
      </c>
      <c r="P23" s="294" t="s">
        <v>139</v>
      </c>
      <c r="Q23" s="294" t="s">
        <v>141</v>
      </c>
      <c r="R23" s="292">
        <v>50000000</v>
      </c>
      <c r="S23" s="292"/>
      <c r="T23" s="295">
        <f>R23+S23</f>
        <v>50000000</v>
      </c>
      <c r="U23" s="293">
        <f t="shared" si="2"/>
        <v>50</v>
      </c>
      <c r="V23" s="296">
        <f t="shared" si="4"/>
        <v>550000000</v>
      </c>
      <c r="W23" s="293">
        <f t="shared" si="1"/>
        <v>91.66666666666666</v>
      </c>
      <c r="X23" s="284"/>
      <c r="Y23" s="297"/>
    </row>
    <row r="24" spans="1:35" s="26" customFormat="1" ht="16.5" customHeight="1">
      <c r="A24" s="260"/>
      <c r="B24" s="261" t="s">
        <v>6</v>
      </c>
      <c r="C24" s="260"/>
      <c r="D24" s="260"/>
      <c r="E24" s="260"/>
      <c r="F24" s="260"/>
      <c r="G24" s="260"/>
      <c r="H24" s="260"/>
      <c r="I24" s="260"/>
      <c r="J24" s="262">
        <f>J25+J73+J103</f>
        <v>10478985750</v>
      </c>
      <c r="K24" s="262"/>
      <c r="L24" s="262"/>
      <c r="M24" s="262"/>
      <c r="N24" s="262">
        <f>N25+N73+N103</f>
        <v>3016546230</v>
      </c>
      <c r="O24" s="302">
        <f>N24/J24*100</f>
        <v>28.78662402990671</v>
      </c>
      <c r="P24" s="262"/>
      <c r="Q24" s="262"/>
      <c r="R24" s="262">
        <f>R25+R73+R103</f>
        <v>504333235</v>
      </c>
      <c r="S24" s="262">
        <f>S25+S73+S103</f>
        <v>94100000</v>
      </c>
      <c r="T24" s="262">
        <f>T25+T73+T103</f>
        <v>598433235</v>
      </c>
      <c r="U24" s="262">
        <f>T24/N24*100</f>
        <v>19.83835782288011</v>
      </c>
      <c r="V24" s="262">
        <f>V25+V73+V103</f>
        <v>9880552515</v>
      </c>
      <c r="W24" s="262">
        <f>V24/J24*100</f>
        <v>94.28920651981991</v>
      </c>
      <c r="X24" s="262"/>
      <c r="Y24" s="263"/>
      <c r="Z24" s="45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26" customFormat="1" ht="12" customHeight="1">
      <c r="A25" s="348" t="s">
        <v>18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1">
        <f>J27</f>
        <v>4264879350</v>
      </c>
      <c r="K25" s="351"/>
      <c r="L25" s="351"/>
      <c r="M25" s="351"/>
      <c r="N25" s="351">
        <f>N27</f>
        <v>846623830</v>
      </c>
      <c r="O25" s="351">
        <f>N25/J25*100</f>
        <v>19.85106167188528</v>
      </c>
      <c r="P25" s="351"/>
      <c r="Q25" s="351"/>
      <c r="R25" s="351">
        <f>R27</f>
        <v>256314029</v>
      </c>
      <c r="S25" s="351">
        <f>S27</f>
        <v>67100000</v>
      </c>
      <c r="T25" s="351">
        <f>T27</f>
        <v>323414029</v>
      </c>
      <c r="U25" s="351">
        <v>0</v>
      </c>
      <c r="V25" s="351">
        <f>V27</f>
        <v>3941465321</v>
      </c>
      <c r="W25" s="351">
        <f>V25/J25*100</f>
        <v>92.41680707802438</v>
      </c>
      <c r="X25" s="351"/>
      <c r="Y25" s="52"/>
      <c r="Z25" s="45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26" customFormat="1" ht="13.5" customHeight="1">
      <c r="A26" s="348"/>
      <c r="B26" s="349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41"/>
      <c r="Z26" s="45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140" customFormat="1" ht="27.75" customHeight="1">
      <c r="A27" s="130"/>
      <c r="B27" s="131" t="s">
        <v>82</v>
      </c>
      <c r="C27" s="130" t="s">
        <v>107</v>
      </c>
      <c r="D27" s="132" t="s">
        <v>37</v>
      </c>
      <c r="E27" s="132" t="s">
        <v>140</v>
      </c>
      <c r="F27" s="132" t="s">
        <v>181</v>
      </c>
      <c r="G27" s="130" t="s">
        <v>28</v>
      </c>
      <c r="H27" s="132" t="s">
        <v>5</v>
      </c>
      <c r="I27" s="130" t="s">
        <v>28</v>
      </c>
      <c r="J27" s="133">
        <f>J28+J39</f>
        <v>4264879350</v>
      </c>
      <c r="K27" s="133"/>
      <c r="L27" s="133"/>
      <c r="M27" s="133"/>
      <c r="N27" s="133">
        <f>N28+N39</f>
        <v>846623830</v>
      </c>
      <c r="O27" s="133">
        <f>N27/J27*100</f>
        <v>19.85106167188528</v>
      </c>
      <c r="P27" s="133"/>
      <c r="Q27" s="133"/>
      <c r="R27" s="133">
        <f>R28+R39</f>
        <v>256314029</v>
      </c>
      <c r="S27" s="133">
        <f>S28+S39</f>
        <v>67100000</v>
      </c>
      <c r="T27" s="133">
        <f>T28+T39</f>
        <v>323414029</v>
      </c>
      <c r="U27" s="133">
        <f>T27/N27*100</f>
        <v>38.200440093919866</v>
      </c>
      <c r="V27" s="133">
        <f>V28+V39</f>
        <v>3941465321</v>
      </c>
      <c r="W27" s="133">
        <f>V27/J27*100</f>
        <v>92.41680707802438</v>
      </c>
      <c r="X27" s="133"/>
      <c r="Y27" s="106"/>
      <c r="Z27" s="45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126" customFormat="1" ht="13.5">
      <c r="A28" s="118">
        <v>1</v>
      </c>
      <c r="B28" s="119" t="s">
        <v>83</v>
      </c>
      <c r="C28" s="118"/>
      <c r="D28" s="120"/>
      <c r="E28" s="120"/>
      <c r="F28" s="120"/>
      <c r="G28" s="118"/>
      <c r="H28" s="120"/>
      <c r="I28" s="118" t="s">
        <v>28</v>
      </c>
      <c r="J28" s="121">
        <f>J29+J37</f>
        <v>137744000</v>
      </c>
      <c r="K28" s="121"/>
      <c r="L28" s="121"/>
      <c r="M28" s="121"/>
      <c r="N28" s="121">
        <f>N29+N37</f>
        <v>23069500</v>
      </c>
      <c r="O28" s="121">
        <f>N28/J28*100</f>
        <v>16.748097920780577</v>
      </c>
      <c r="P28" s="121"/>
      <c r="Q28" s="121"/>
      <c r="R28" s="121">
        <f>R29+R37</f>
        <v>7069500</v>
      </c>
      <c r="S28" s="121">
        <f>S29+S37</f>
        <v>0</v>
      </c>
      <c r="T28" s="121">
        <f>T29+T37</f>
        <v>7069500</v>
      </c>
      <c r="U28" s="121">
        <f>T28/N28*100</f>
        <v>30.644357268254623</v>
      </c>
      <c r="V28" s="121">
        <f>V29+V37</f>
        <v>130674500</v>
      </c>
      <c r="W28" s="121">
        <f>V28/J28*100</f>
        <v>94.86765303751888</v>
      </c>
      <c r="X28" s="121"/>
      <c r="Y28" s="106"/>
      <c r="Z28" s="45"/>
      <c r="AA28" s="173"/>
      <c r="AB28" s="43"/>
      <c r="AC28" s="43"/>
      <c r="AD28" s="43"/>
      <c r="AE28" s="43"/>
      <c r="AF28" s="43"/>
      <c r="AG28" s="43"/>
      <c r="AH28" s="43"/>
      <c r="AI28" s="43"/>
    </row>
    <row r="29" spans="1:35" s="26" customFormat="1" ht="13.5">
      <c r="A29" s="10"/>
      <c r="B29" s="94" t="s">
        <v>84</v>
      </c>
      <c r="C29" s="10" t="s">
        <v>111</v>
      </c>
      <c r="D29" s="102" t="s">
        <v>37</v>
      </c>
      <c r="E29" s="102" t="s">
        <v>140</v>
      </c>
      <c r="F29" s="102" t="s">
        <v>181</v>
      </c>
      <c r="G29" s="10" t="s">
        <v>28</v>
      </c>
      <c r="H29" s="102" t="s">
        <v>5</v>
      </c>
      <c r="I29" s="102"/>
      <c r="J29" s="98">
        <f>SUM(J30:J36)</f>
        <v>40667000</v>
      </c>
      <c r="K29" s="105"/>
      <c r="L29" s="105"/>
      <c r="M29" s="105"/>
      <c r="N29" s="111">
        <f>SUM(N30:N36)</f>
        <v>7069500</v>
      </c>
      <c r="O29" s="195">
        <f>N29/J29*100</f>
        <v>17.383873902672928</v>
      </c>
      <c r="P29" s="170" t="s">
        <v>139</v>
      </c>
      <c r="Q29" s="170" t="s">
        <v>141</v>
      </c>
      <c r="R29" s="89">
        <f>SUM(R30:R36)</f>
        <v>7069500</v>
      </c>
      <c r="S29" s="89">
        <f>SUM(S30:S34)</f>
        <v>0</v>
      </c>
      <c r="T29" s="89">
        <f>SUM(T30:T36)</f>
        <v>7069500</v>
      </c>
      <c r="U29" s="204">
        <f>T29/N29*100</f>
        <v>100</v>
      </c>
      <c r="V29" s="86">
        <f>SUM(V30:V36)</f>
        <v>33597500</v>
      </c>
      <c r="W29" s="188">
        <f>V29/J29*100</f>
        <v>82.61612609732707</v>
      </c>
      <c r="X29" s="105"/>
      <c r="Y29" s="106"/>
      <c r="Z29" s="45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25" customFormat="1" ht="13.5">
      <c r="A30" s="9"/>
      <c r="B30" s="74" t="s">
        <v>85</v>
      </c>
      <c r="C30" s="9" t="s">
        <v>108</v>
      </c>
      <c r="D30" s="5" t="s">
        <v>37</v>
      </c>
      <c r="E30" s="5" t="s">
        <v>140</v>
      </c>
      <c r="F30" s="5" t="s">
        <v>181</v>
      </c>
      <c r="G30" s="9" t="s">
        <v>28</v>
      </c>
      <c r="H30" s="5" t="s">
        <v>5</v>
      </c>
      <c r="I30" s="9" t="s">
        <v>28</v>
      </c>
      <c r="J30" s="11">
        <v>8414000</v>
      </c>
      <c r="K30" s="36"/>
      <c r="L30" s="37"/>
      <c r="M30" s="7" t="s">
        <v>78</v>
      </c>
      <c r="N30" s="112">
        <f>847000+847000</f>
        <v>1694000</v>
      </c>
      <c r="O30" s="196">
        <f>N30/J30*100</f>
        <v>20.133111480865225</v>
      </c>
      <c r="P30" s="91" t="s">
        <v>139</v>
      </c>
      <c r="Q30" s="91" t="s">
        <v>141</v>
      </c>
      <c r="R30" s="88">
        <v>1694000</v>
      </c>
      <c r="S30" s="88"/>
      <c r="T30" s="88">
        <f aca="true" t="shared" si="5" ref="T30:T36">R30+S30</f>
        <v>1694000</v>
      </c>
      <c r="U30" s="205">
        <v>0</v>
      </c>
      <c r="V30" s="8">
        <f>J30-T30</f>
        <v>6720000</v>
      </c>
      <c r="W30" s="189">
        <f aca="true" t="shared" si="6" ref="W30:W38">V30/J30*100</f>
        <v>79.86688851913478</v>
      </c>
      <c r="X30" s="7"/>
      <c r="Y30" s="38"/>
      <c r="Z30" s="46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25" customFormat="1" ht="17.25" customHeight="1">
      <c r="A31" s="9"/>
      <c r="B31" s="97" t="s">
        <v>142</v>
      </c>
      <c r="C31" s="9" t="s">
        <v>113</v>
      </c>
      <c r="D31" s="5" t="s">
        <v>37</v>
      </c>
      <c r="E31" s="5" t="s">
        <v>140</v>
      </c>
      <c r="F31" s="5" t="s">
        <v>181</v>
      </c>
      <c r="G31" s="9" t="s">
        <v>28</v>
      </c>
      <c r="H31" s="5" t="s">
        <v>5</v>
      </c>
      <c r="I31" s="5"/>
      <c r="J31" s="11">
        <v>2808000</v>
      </c>
      <c r="K31" s="7"/>
      <c r="L31" s="7"/>
      <c r="M31" s="7" t="s">
        <v>78</v>
      </c>
      <c r="N31" s="53">
        <f>234000+234000</f>
        <v>468000</v>
      </c>
      <c r="O31" s="196">
        <f aca="true" t="shared" si="7" ref="O31:O37">N31/J31*100</f>
        <v>16.666666666666664</v>
      </c>
      <c r="P31" s="91" t="s">
        <v>139</v>
      </c>
      <c r="Q31" s="91" t="s">
        <v>141</v>
      </c>
      <c r="R31" s="88">
        <v>468000</v>
      </c>
      <c r="S31" s="88"/>
      <c r="T31" s="88">
        <f t="shared" si="5"/>
        <v>468000</v>
      </c>
      <c r="U31" s="205">
        <f aca="true" t="shared" si="8" ref="U31:U72">T31/N31*100</f>
        <v>100</v>
      </c>
      <c r="V31" s="8">
        <f aca="true" t="shared" si="9" ref="V31:V36">J31-T31</f>
        <v>2340000</v>
      </c>
      <c r="W31" s="189">
        <f t="shared" si="6"/>
        <v>83.33333333333334</v>
      </c>
      <c r="X31" s="7"/>
      <c r="Y31" s="38"/>
      <c r="Z31" s="46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25" customFormat="1" ht="13.5">
      <c r="A32" s="9"/>
      <c r="B32" s="74" t="s">
        <v>86</v>
      </c>
      <c r="C32" s="9" t="s">
        <v>109</v>
      </c>
      <c r="D32" s="5" t="s">
        <v>37</v>
      </c>
      <c r="E32" s="5" t="s">
        <v>140</v>
      </c>
      <c r="F32" s="5" t="s">
        <v>181</v>
      </c>
      <c r="G32" s="9" t="s">
        <v>28</v>
      </c>
      <c r="H32" s="5" t="s">
        <v>5</v>
      </c>
      <c r="I32" s="9" t="s">
        <v>28</v>
      </c>
      <c r="J32" s="11">
        <v>1200000</v>
      </c>
      <c r="K32" s="36"/>
      <c r="L32" s="37"/>
      <c r="M32" s="7" t="s">
        <v>78</v>
      </c>
      <c r="N32" s="112">
        <f>100000+100000</f>
        <v>200000</v>
      </c>
      <c r="O32" s="196">
        <f t="shared" si="7"/>
        <v>16.666666666666664</v>
      </c>
      <c r="P32" s="91" t="s">
        <v>139</v>
      </c>
      <c r="Q32" s="91" t="s">
        <v>141</v>
      </c>
      <c r="R32" s="88">
        <v>200000</v>
      </c>
      <c r="S32" s="88"/>
      <c r="T32" s="88">
        <f t="shared" si="5"/>
        <v>200000</v>
      </c>
      <c r="U32" s="205">
        <f t="shared" si="8"/>
        <v>100</v>
      </c>
      <c r="V32" s="8">
        <f t="shared" si="9"/>
        <v>1000000</v>
      </c>
      <c r="W32" s="189">
        <f t="shared" si="6"/>
        <v>83.33333333333334</v>
      </c>
      <c r="X32" s="7"/>
      <c r="Y32" s="38"/>
      <c r="Z32" s="46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25" customFormat="1" ht="13.5">
      <c r="A33" s="9"/>
      <c r="B33" s="6" t="s">
        <v>145</v>
      </c>
      <c r="C33" s="9" t="s">
        <v>146</v>
      </c>
      <c r="D33" s="5" t="s">
        <v>37</v>
      </c>
      <c r="E33" s="5" t="s">
        <v>140</v>
      </c>
      <c r="F33" s="5" t="s">
        <v>181</v>
      </c>
      <c r="G33" s="9" t="s">
        <v>28</v>
      </c>
      <c r="H33" s="5" t="s">
        <v>5</v>
      </c>
      <c r="I33" s="9"/>
      <c r="J33" s="11">
        <v>8772000</v>
      </c>
      <c r="K33" s="36"/>
      <c r="L33" s="37"/>
      <c r="M33" s="7" t="s">
        <v>78</v>
      </c>
      <c r="N33" s="112">
        <f>731000+731000</f>
        <v>1462000</v>
      </c>
      <c r="O33" s="196">
        <f t="shared" si="7"/>
        <v>16.666666666666664</v>
      </c>
      <c r="P33" s="91" t="s">
        <v>139</v>
      </c>
      <c r="Q33" s="91" t="s">
        <v>141</v>
      </c>
      <c r="R33" s="88">
        <v>1462000</v>
      </c>
      <c r="S33" s="88"/>
      <c r="T33" s="88">
        <f t="shared" si="5"/>
        <v>1462000</v>
      </c>
      <c r="U33" s="205">
        <f t="shared" si="8"/>
        <v>100</v>
      </c>
      <c r="V33" s="8">
        <f t="shared" si="9"/>
        <v>7310000</v>
      </c>
      <c r="W33" s="189">
        <f t="shared" si="6"/>
        <v>83.33333333333334</v>
      </c>
      <c r="X33" s="7"/>
      <c r="Y33" s="38"/>
      <c r="Z33" s="46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25" customFormat="1" ht="13.5">
      <c r="A34" s="9"/>
      <c r="B34" s="6" t="s">
        <v>148</v>
      </c>
      <c r="C34" s="9" t="s">
        <v>147</v>
      </c>
      <c r="D34" s="5" t="s">
        <v>37</v>
      </c>
      <c r="E34" s="5" t="s">
        <v>140</v>
      </c>
      <c r="F34" s="5" t="s">
        <v>181</v>
      </c>
      <c r="G34" s="9" t="s">
        <v>28</v>
      </c>
      <c r="H34" s="5" t="s">
        <v>5</v>
      </c>
      <c r="I34" s="9"/>
      <c r="J34" s="11">
        <v>8775000</v>
      </c>
      <c r="K34" s="36"/>
      <c r="L34" s="37"/>
      <c r="M34" s="7" t="s">
        <v>78</v>
      </c>
      <c r="N34" s="177">
        <f>731250+731250</f>
        <v>1462500</v>
      </c>
      <c r="O34" s="196">
        <f t="shared" si="7"/>
        <v>16.666666666666664</v>
      </c>
      <c r="P34" s="91" t="s">
        <v>139</v>
      </c>
      <c r="Q34" s="91" t="s">
        <v>141</v>
      </c>
      <c r="R34" s="88">
        <v>1462500</v>
      </c>
      <c r="S34" s="88"/>
      <c r="T34" s="88">
        <f t="shared" si="5"/>
        <v>1462500</v>
      </c>
      <c r="U34" s="205">
        <f t="shared" si="8"/>
        <v>100</v>
      </c>
      <c r="V34" s="8">
        <f t="shared" si="9"/>
        <v>7312500</v>
      </c>
      <c r="W34" s="189">
        <f t="shared" si="6"/>
        <v>83.33333333333334</v>
      </c>
      <c r="X34" s="7"/>
      <c r="Y34" s="38"/>
      <c r="Z34" s="46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s="25" customFormat="1" ht="13.5">
      <c r="A35" s="9"/>
      <c r="B35" s="6" t="s">
        <v>177</v>
      </c>
      <c r="C35" s="9" t="s">
        <v>179</v>
      </c>
      <c r="D35" s="5" t="s">
        <v>37</v>
      </c>
      <c r="E35" s="5" t="s">
        <v>140</v>
      </c>
      <c r="F35" s="5" t="s">
        <v>181</v>
      </c>
      <c r="G35" s="9"/>
      <c r="H35" s="5"/>
      <c r="I35" s="9"/>
      <c r="J35" s="11">
        <v>6348000</v>
      </c>
      <c r="K35" s="36"/>
      <c r="L35" s="37"/>
      <c r="M35" s="7" t="s">
        <v>78</v>
      </c>
      <c r="N35" s="177">
        <f>529000+529000</f>
        <v>1058000</v>
      </c>
      <c r="O35" s="196">
        <f t="shared" si="7"/>
        <v>16.666666666666664</v>
      </c>
      <c r="P35" s="91" t="s">
        <v>139</v>
      </c>
      <c r="Q35" s="91" t="s">
        <v>141</v>
      </c>
      <c r="R35" s="88">
        <v>1058000</v>
      </c>
      <c r="S35" s="88"/>
      <c r="T35" s="88">
        <f t="shared" si="5"/>
        <v>1058000</v>
      </c>
      <c r="U35" s="205">
        <f t="shared" si="8"/>
        <v>100</v>
      </c>
      <c r="V35" s="8">
        <f t="shared" si="9"/>
        <v>5290000</v>
      </c>
      <c r="W35" s="189">
        <f t="shared" si="6"/>
        <v>83.33333333333334</v>
      </c>
      <c r="X35" s="7"/>
      <c r="Y35" s="38"/>
      <c r="Z35" s="46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5" customFormat="1" ht="13.5">
      <c r="A36" s="9"/>
      <c r="B36" s="6" t="s">
        <v>178</v>
      </c>
      <c r="C36" s="9" t="s">
        <v>180</v>
      </c>
      <c r="D36" s="5" t="s">
        <v>37</v>
      </c>
      <c r="E36" s="5" t="s">
        <v>140</v>
      </c>
      <c r="F36" s="5" t="s">
        <v>181</v>
      </c>
      <c r="G36" s="9"/>
      <c r="H36" s="5"/>
      <c r="I36" s="9"/>
      <c r="J36" s="11">
        <v>4350000</v>
      </c>
      <c r="K36" s="36"/>
      <c r="L36" s="37"/>
      <c r="M36" s="7" t="s">
        <v>78</v>
      </c>
      <c r="N36" s="177">
        <f>362500+362500</f>
        <v>725000</v>
      </c>
      <c r="O36" s="196">
        <f t="shared" si="7"/>
        <v>16.666666666666664</v>
      </c>
      <c r="P36" s="91" t="s">
        <v>139</v>
      </c>
      <c r="Q36" s="91" t="s">
        <v>141</v>
      </c>
      <c r="R36" s="88">
        <v>725000</v>
      </c>
      <c r="S36" s="88"/>
      <c r="T36" s="88">
        <f t="shared" si="5"/>
        <v>725000</v>
      </c>
      <c r="U36" s="205">
        <f t="shared" si="8"/>
        <v>100</v>
      </c>
      <c r="V36" s="8">
        <f t="shared" si="9"/>
        <v>3625000</v>
      </c>
      <c r="W36" s="189">
        <f t="shared" si="6"/>
        <v>83.33333333333334</v>
      </c>
      <c r="X36" s="7"/>
      <c r="Y36" s="38"/>
      <c r="Z36" s="46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26" customFormat="1" ht="13.5">
      <c r="A37" s="10"/>
      <c r="B37" s="94" t="s">
        <v>160</v>
      </c>
      <c r="C37" s="10" t="s">
        <v>161</v>
      </c>
      <c r="D37" s="102" t="s">
        <v>37</v>
      </c>
      <c r="E37" s="102" t="s">
        <v>140</v>
      </c>
      <c r="F37" s="102" t="s">
        <v>181</v>
      </c>
      <c r="G37" s="10" t="s">
        <v>28</v>
      </c>
      <c r="H37" s="102" t="s">
        <v>5</v>
      </c>
      <c r="I37" s="10"/>
      <c r="J37" s="98">
        <f>J38</f>
        <v>97077000</v>
      </c>
      <c r="K37" s="103"/>
      <c r="L37" s="104"/>
      <c r="M37" s="105"/>
      <c r="N37" s="179">
        <f>N38</f>
        <v>16000000</v>
      </c>
      <c r="O37" s="195">
        <f t="shared" si="7"/>
        <v>16.48176190034715</v>
      </c>
      <c r="P37" s="170" t="s">
        <v>139</v>
      </c>
      <c r="Q37" s="170" t="s">
        <v>141</v>
      </c>
      <c r="R37" s="89">
        <f>R38</f>
        <v>0</v>
      </c>
      <c r="S37" s="88">
        <f>S38</f>
        <v>0</v>
      </c>
      <c r="T37" s="89">
        <f>T38</f>
        <v>0</v>
      </c>
      <c r="U37" s="204">
        <f t="shared" si="8"/>
        <v>0</v>
      </c>
      <c r="V37" s="86">
        <f>V38</f>
        <v>97077000</v>
      </c>
      <c r="W37" s="188">
        <f t="shared" si="6"/>
        <v>100</v>
      </c>
      <c r="X37" s="105"/>
      <c r="Y37" s="106"/>
      <c r="Z37" s="45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25" customFormat="1" ht="13.5">
      <c r="A38" s="9"/>
      <c r="B38" s="6" t="s">
        <v>159</v>
      </c>
      <c r="C38" s="9" t="s">
        <v>110</v>
      </c>
      <c r="D38" s="5" t="s">
        <v>37</v>
      </c>
      <c r="E38" s="5" t="s">
        <v>140</v>
      </c>
      <c r="F38" s="5" t="s">
        <v>181</v>
      </c>
      <c r="G38" s="9" t="s">
        <v>28</v>
      </c>
      <c r="H38" s="5" t="s">
        <v>5</v>
      </c>
      <c r="I38" s="9"/>
      <c r="J38" s="11">
        <v>97077000</v>
      </c>
      <c r="K38" s="36"/>
      <c r="L38" s="37"/>
      <c r="M38" s="7" t="s">
        <v>78</v>
      </c>
      <c r="N38" s="177">
        <f>8000000+8000000</f>
        <v>16000000</v>
      </c>
      <c r="O38" s="196">
        <f>N38/J38*100</f>
        <v>16.48176190034715</v>
      </c>
      <c r="P38" s="91" t="s">
        <v>139</v>
      </c>
      <c r="Q38" s="91" t="s">
        <v>141</v>
      </c>
      <c r="R38" s="88"/>
      <c r="S38" s="88"/>
      <c r="T38" s="88">
        <f>R38+S38</f>
        <v>0</v>
      </c>
      <c r="U38" s="204">
        <f t="shared" si="8"/>
        <v>0</v>
      </c>
      <c r="V38" s="8">
        <f>J38-T38</f>
        <v>97077000</v>
      </c>
      <c r="W38" s="189">
        <f t="shared" si="6"/>
        <v>100</v>
      </c>
      <c r="X38" s="7"/>
      <c r="Y38" s="38"/>
      <c r="Z38" s="46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26" customFormat="1" ht="13.5">
      <c r="A39" s="118">
        <v>2</v>
      </c>
      <c r="B39" s="119" t="s">
        <v>79</v>
      </c>
      <c r="C39" s="118"/>
      <c r="D39" s="120"/>
      <c r="E39" s="120"/>
      <c r="F39" s="120"/>
      <c r="G39" s="118"/>
      <c r="H39" s="120"/>
      <c r="I39" s="118"/>
      <c r="J39" s="121">
        <f>J40+J45+J53+J56+J59+J64+J67+J70</f>
        <v>4127135350</v>
      </c>
      <c r="K39" s="121"/>
      <c r="L39" s="121"/>
      <c r="M39" s="121"/>
      <c r="N39" s="121">
        <f>N40+N45+N53+N56+N59+N64+N67+N70</f>
        <v>823554330</v>
      </c>
      <c r="O39" s="121">
        <f>N39/J39*100</f>
        <v>19.95462373193067</v>
      </c>
      <c r="P39" s="121"/>
      <c r="Q39" s="121"/>
      <c r="R39" s="123">
        <f>R40+R45+R53+R56+R59+R64+R67+R70</f>
        <v>249244529</v>
      </c>
      <c r="S39" s="123">
        <f>S40+S45+S53+S56+S59+S64+S67+S70</f>
        <v>67100000</v>
      </c>
      <c r="T39" s="123">
        <f>T40+T45+T53+T56+T59+T64+T67+T70</f>
        <v>316344529</v>
      </c>
      <c r="U39" s="203">
        <f>T39/N39*100</f>
        <v>38.41210196782039</v>
      </c>
      <c r="V39" s="121">
        <f>V40+V45+V53+V56+V59+V64+V67+V70</f>
        <v>3810790821</v>
      </c>
      <c r="W39" s="121">
        <f>V39/J39*100</f>
        <v>92.3350095847959</v>
      </c>
      <c r="X39" s="121"/>
      <c r="Y39" s="106"/>
      <c r="Z39" s="45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26" customFormat="1" ht="13.5">
      <c r="A40" s="10"/>
      <c r="B40" s="94" t="s">
        <v>87</v>
      </c>
      <c r="C40" s="10" t="s">
        <v>112</v>
      </c>
      <c r="D40" s="102" t="s">
        <v>37</v>
      </c>
      <c r="E40" s="102" t="s">
        <v>140</v>
      </c>
      <c r="F40" s="102" t="s">
        <v>181</v>
      </c>
      <c r="G40" s="10" t="s">
        <v>28</v>
      </c>
      <c r="H40" s="102" t="s">
        <v>5</v>
      </c>
      <c r="I40" s="10" t="s">
        <v>28</v>
      </c>
      <c r="J40" s="264">
        <f>SUM(J41:J44)</f>
        <v>46928570</v>
      </c>
      <c r="K40" s="104"/>
      <c r="L40" s="104"/>
      <c r="M40" s="105"/>
      <c r="N40" s="110">
        <f>SUM(N41:N44)</f>
        <v>16720950</v>
      </c>
      <c r="O40" s="195">
        <f aca="true" t="shared" si="10" ref="O40:O72">N40/J40*100</f>
        <v>35.63064035405298</v>
      </c>
      <c r="P40" s="170" t="s">
        <v>139</v>
      </c>
      <c r="Q40" s="170" t="s">
        <v>141</v>
      </c>
      <c r="R40" s="89">
        <f>SUM(R41:R44)</f>
        <v>12608500</v>
      </c>
      <c r="S40" s="89">
        <f>SUM(S42:S43)</f>
        <v>0</v>
      </c>
      <c r="T40" s="89">
        <f>SUM(T41:T44)</f>
        <v>12608500</v>
      </c>
      <c r="U40" s="204">
        <f>T40/N40*100</f>
        <v>75.40540459722683</v>
      </c>
      <c r="V40" s="86">
        <f>SUM(V41:V44)</f>
        <v>34320070</v>
      </c>
      <c r="W40" s="303">
        <f>V40/J40*100</f>
        <v>73.13257148044357</v>
      </c>
      <c r="X40" s="105"/>
      <c r="Y40" s="106"/>
      <c r="Z40" s="45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25" customFormat="1" ht="13.5">
      <c r="A41" s="9"/>
      <c r="B41" s="6" t="s">
        <v>182</v>
      </c>
      <c r="C41" s="9" t="s">
        <v>134</v>
      </c>
      <c r="D41" s="5" t="s">
        <v>37</v>
      </c>
      <c r="E41" s="5" t="s">
        <v>306</v>
      </c>
      <c r="F41" s="5" t="s">
        <v>181</v>
      </c>
      <c r="G41" s="9" t="s">
        <v>28</v>
      </c>
      <c r="H41" s="5" t="s">
        <v>5</v>
      </c>
      <c r="I41" s="9"/>
      <c r="J41" s="265">
        <v>10720000</v>
      </c>
      <c r="K41" s="37"/>
      <c r="L41" s="37"/>
      <c r="M41" s="7" t="s">
        <v>78</v>
      </c>
      <c r="N41" s="112">
        <v>10720000</v>
      </c>
      <c r="O41" s="196">
        <f>N41/J41*100</f>
        <v>100</v>
      </c>
      <c r="P41" s="91" t="s">
        <v>139</v>
      </c>
      <c r="Q41" s="91" t="s">
        <v>141</v>
      </c>
      <c r="R41" s="88">
        <v>10400000</v>
      </c>
      <c r="S41" s="88"/>
      <c r="T41" s="88">
        <f>R41+S41</f>
        <v>10400000</v>
      </c>
      <c r="U41" s="204">
        <f>T41/N41*100</f>
        <v>97.01492537313433</v>
      </c>
      <c r="V41" s="8">
        <f>J41-T41</f>
        <v>320000</v>
      </c>
      <c r="W41" s="304">
        <f>V41/J41*100</f>
        <v>2.9850746268656714</v>
      </c>
      <c r="X41" s="7"/>
      <c r="Y41" s="38"/>
      <c r="Z41" s="46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25" customFormat="1" ht="14.25" customHeight="1">
      <c r="A42" s="9"/>
      <c r="B42" s="73" t="s">
        <v>88</v>
      </c>
      <c r="C42" s="9" t="s">
        <v>113</v>
      </c>
      <c r="D42" s="5" t="s">
        <v>37</v>
      </c>
      <c r="E42" s="5" t="s">
        <v>140</v>
      </c>
      <c r="F42" s="5" t="s">
        <v>181</v>
      </c>
      <c r="G42" s="9" t="s">
        <v>28</v>
      </c>
      <c r="H42" s="5" t="s">
        <v>5</v>
      </c>
      <c r="I42" s="5"/>
      <c r="J42" s="265">
        <v>10500000</v>
      </c>
      <c r="K42" s="7"/>
      <c r="L42" s="7"/>
      <c r="M42" s="7" t="s">
        <v>78</v>
      </c>
      <c r="N42" s="112">
        <f>875000+875000</f>
        <v>1750000</v>
      </c>
      <c r="O42" s="196">
        <f>N42/J42*100</f>
        <v>16.666666666666664</v>
      </c>
      <c r="P42" s="91" t="s">
        <v>139</v>
      </c>
      <c r="Q42" s="91" t="s">
        <v>141</v>
      </c>
      <c r="R42" s="88">
        <v>1725000</v>
      </c>
      <c r="S42" s="88"/>
      <c r="T42" s="88">
        <f>R42+S42</f>
        <v>1725000</v>
      </c>
      <c r="U42" s="204">
        <f>T42/N42*100</f>
        <v>98.57142857142858</v>
      </c>
      <c r="V42" s="8">
        <f>J42-T42</f>
        <v>8775000</v>
      </c>
      <c r="W42" s="304">
        <f aca="true" t="shared" si="11" ref="W42:W72">V42/J42*100</f>
        <v>83.57142857142857</v>
      </c>
      <c r="X42" s="7"/>
      <c r="Y42" s="38"/>
      <c r="Z42" s="46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25" customFormat="1" ht="15" customHeight="1">
      <c r="A43" s="9"/>
      <c r="B43" s="73" t="s">
        <v>89</v>
      </c>
      <c r="C43" s="9" t="s">
        <v>109</v>
      </c>
      <c r="D43" s="5" t="s">
        <v>37</v>
      </c>
      <c r="E43" s="5" t="s">
        <v>140</v>
      </c>
      <c r="F43" s="5" t="s">
        <v>181</v>
      </c>
      <c r="G43" s="9" t="s">
        <v>28</v>
      </c>
      <c r="H43" s="5" t="s">
        <v>5</v>
      </c>
      <c r="I43" s="9" t="s">
        <v>28</v>
      </c>
      <c r="J43" s="265">
        <v>5703570</v>
      </c>
      <c r="K43" s="36"/>
      <c r="L43" s="37"/>
      <c r="M43" s="7" t="s">
        <v>78</v>
      </c>
      <c r="N43" s="112">
        <f>475950+475000</f>
        <v>950950</v>
      </c>
      <c r="O43" s="196">
        <f t="shared" si="10"/>
        <v>16.672890838544983</v>
      </c>
      <c r="P43" s="91" t="s">
        <v>139</v>
      </c>
      <c r="Q43" s="91" t="s">
        <v>141</v>
      </c>
      <c r="R43" s="88">
        <v>483500</v>
      </c>
      <c r="S43" s="88"/>
      <c r="T43" s="88">
        <f aca="true" t="shared" si="12" ref="T43:T72">R43+S43</f>
        <v>483500</v>
      </c>
      <c r="U43" s="204">
        <f t="shared" si="8"/>
        <v>50.843892949156114</v>
      </c>
      <c r="V43" s="8">
        <f aca="true" t="shared" si="13" ref="V43:V72">J43-T43</f>
        <v>5220070</v>
      </c>
      <c r="W43" s="304">
        <f t="shared" si="11"/>
        <v>91.52285323052052</v>
      </c>
      <c r="X43" s="7"/>
      <c r="Y43" s="38"/>
      <c r="Z43" s="46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25" customFormat="1" ht="15" customHeight="1">
      <c r="A44" s="9"/>
      <c r="B44" s="266" t="s">
        <v>183</v>
      </c>
      <c r="C44" s="9" t="s">
        <v>206</v>
      </c>
      <c r="D44" s="5" t="s">
        <v>37</v>
      </c>
      <c r="E44" s="5" t="s">
        <v>140</v>
      </c>
      <c r="F44" s="5" t="s">
        <v>181</v>
      </c>
      <c r="G44" s="9" t="s">
        <v>28</v>
      </c>
      <c r="H44" s="5" t="s">
        <v>5</v>
      </c>
      <c r="I44" s="9"/>
      <c r="J44" s="265">
        <v>20005000</v>
      </c>
      <c r="K44" s="36"/>
      <c r="L44" s="37"/>
      <c r="M44" s="7" t="s">
        <v>78</v>
      </c>
      <c r="N44" s="112">
        <f>1650000+1650000</f>
        <v>3300000</v>
      </c>
      <c r="O44" s="196">
        <f t="shared" si="10"/>
        <v>16.49587603099225</v>
      </c>
      <c r="P44" s="91" t="s">
        <v>139</v>
      </c>
      <c r="Q44" s="91" t="s">
        <v>141</v>
      </c>
      <c r="R44" s="88"/>
      <c r="S44" s="88"/>
      <c r="T44" s="88">
        <f t="shared" si="12"/>
        <v>0</v>
      </c>
      <c r="U44" s="204">
        <f t="shared" si="8"/>
        <v>0</v>
      </c>
      <c r="V44" s="8">
        <f t="shared" si="13"/>
        <v>20005000</v>
      </c>
      <c r="W44" s="304">
        <f t="shared" si="11"/>
        <v>100</v>
      </c>
      <c r="X44" s="7"/>
      <c r="Y44" s="38"/>
      <c r="Z44" s="46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26" customFormat="1" ht="15" customHeight="1">
      <c r="A45" s="10"/>
      <c r="B45" s="267" t="s">
        <v>106</v>
      </c>
      <c r="C45" s="159">
        <v>2003</v>
      </c>
      <c r="D45" s="102" t="s">
        <v>37</v>
      </c>
      <c r="E45" s="102" t="s">
        <v>140</v>
      </c>
      <c r="F45" s="102" t="s">
        <v>181</v>
      </c>
      <c r="G45" s="10" t="s">
        <v>28</v>
      </c>
      <c r="H45" s="102" t="s">
        <v>5</v>
      </c>
      <c r="I45" s="10"/>
      <c r="J45" s="264">
        <f>SUM(J46:J52)</f>
        <v>807135000</v>
      </c>
      <c r="K45" s="103"/>
      <c r="L45" s="104"/>
      <c r="M45" s="105"/>
      <c r="N45" s="110">
        <f>SUM(N46:N52)</f>
        <v>137722500</v>
      </c>
      <c r="O45" s="195">
        <f t="shared" si="10"/>
        <v>17.063130703042244</v>
      </c>
      <c r="P45" s="170" t="s">
        <v>139</v>
      </c>
      <c r="Q45" s="170" t="s">
        <v>141</v>
      </c>
      <c r="R45" s="89">
        <f>SUM(R46:R52)</f>
        <v>44314520</v>
      </c>
      <c r="S45" s="89">
        <f>SUM(S46:S52)</f>
        <v>0</v>
      </c>
      <c r="T45" s="89">
        <f t="shared" si="12"/>
        <v>44314520</v>
      </c>
      <c r="U45" s="204">
        <f t="shared" si="8"/>
        <v>32.1766741091688</v>
      </c>
      <c r="V45" s="86">
        <f>SUM(V46:V52)</f>
        <v>762820480</v>
      </c>
      <c r="W45" s="303">
        <f t="shared" si="11"/>
        <v>94.50965204086057</v>
      </c>
      <c r="X45" s="105"/>
      <c r="Y45" s="106"/>
      <c r="Z45" s="45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25" customFormat="1" ht="15" customHeight="1">
      <c r="A46" s="9"/>
      <c r="B46" s="266" t="s">
        <v>90</v>
      </c>
      <c r="C46" s="9" t="s">
        <v>110</v>
      </c>
      <c r="D46" s="5" t="s">
        <v>37</v>
      </c>
      <c r="E46" s="5" t="s">
        <v>140</v>
      </c>
      <c r="F46" s="5" t="s">
        <v>181</v>
      </c>
      <c r="G46" s="9" t="s">
        <v>28</v>
      </c>
      <c r="H46" s="5" t="s">
        <v>5</v>
      </c>
      <c r="I46" s="9"/>
      <c r="J46" s="265">
        <v>96960000</v>
      </c>
      <c r="K46" s="36"/>
      <c r="L46" s="37"/>
      <c r="M46" s="7" t="s">
        <v>78</v>
      </c>
      <c r="N46" s="112">
        <f>8080000+8080000</f>
        <v>16160000</v>
      </c>
      <c r="O46" s="196">
        <f t="shared" si="10"/>
        <v>16.666666666666664</v>
      </c>
      <c r="P46" s="91" t="s">
        <v>139</v>
      </c>
      <c r="Q46" s="91" t="s">
        <v>141</v>
      </c>
      <c r="R46" s="88">
        <v>13226846</v>
      </c>
      <c r="S46" s="88"/>
      <c r="T46" s="88">
        <f t="shared" si="12"/>
        <v>13226846</v>
      </c>
      <c r="U46" s="204">
        <f t="shared" si="8"/>
        <v>81.84929455445544</v>
      </c>
      <c r="V46" s="8">
        <f t="shared" si="13"/>
        <v>83733154</v>
      </c>
      <c r="W46" s="304">
        <f t="shared" si="11"/>
        <v>86.35845090759075</v>
      </c>
      <c r="X46" s="7"/>
      <c r="Y46" s="38"/>
      <c r="Z46" s="46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5" customFormat="1" ht="15" customHeight="1">
      <c r="A47" s="9"/>
      <c r="B47" s="266" t="s">
        <v>184</v>
      </c>
      <c r="C47" s="9" t="s">
        <v>207</v>
      </c>
      <c r="D47" s="5" t="s">
        <v>37</v>
      </c>
      <c r="E47" s="5" t="s">
        <v>140</v>
      </c>
      <c r="F47" s="5" t="s">
        <v>181</v>
      </c>
      <c r="G47" s="9" t="s">
        <v>28</v>
      </c>
      <c r="H47" s="5" t="s">
        <v>5</v>
      </c>
      <c r="I47" s="9"/>
      <c r="J47" s="265">
        <v>48000000</v>
      </c>
      <c r="K47" s="36"/>
      <c r="L47" s="37"/>
      <c r="M47" s="7" t="s">
        <v>221</v>
      </c>
      <c r="N47" s="112">
        <f>4000000+4000000</f>
        <v>8000000</v>
      </c>
      <c r="O47" s="196">
        <f t="shared" si="10"/>
        <v>16.666666666666664</v>
      </c>
      <c r="P47" s="91" t="s">
        <v>139</v>
      </c>
      <c r="Q47" s="91" t="s">
        <v>141</v>
      </c>
      <c r="R47" s="88">
        <v>2931600</v>
      </c>
      <c r="S47" s="88"/>
      <c r="T47" s="88">
        <f t="shared" si="12"/>
        <v>2931600</v>
      </c>
      <c r="U47" s="204">
        <f t="shared" si="8"/>
        <v>36.645</v>
      </c>
      <c r="V47" s="8">
        <f t="shared" si="13"/>
        <v>45068400</v>
      </c>
      <c r="W47" s="304">
        <f t="shared" si="11"/>
        <v>93.8925</v>
      </c>
      <c r="X47" s="7"/>
      <c r="Y47" s="38"/>
      <c r="Z47" s="46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25" customFormat="1" ht="15" customHeight="1">
      <c r="A48" s="9"/>
      <c r="B48" s="266" t="s">
        <v>185</v>
      </c>
      <c r="C48" s="9" t="s">
        <v>208</v>
      </c>
      <c r="D48" s="5" t="s">
        <v>37</v>
      </c>
      <c r="E48" s="5" t="s">
        <v>140</v>
      </c>
      <c r="F48" s="5" t="s">
        <v>181</v>
      </c>
      <c r="G48" s="9" t="s">
        <v>28</v>
      </c>
      <c r="H48" s="5" t="s">
        <v>5</v>
      </c>
      <c r="I48" s="9"/>
      <c r="J48" s="265">
        <v>531900000</v>
      </c>
      <c r="K48" s="36"/>
      <c r="L48" s="37"/>
      <c r="M48" s="7" t="s">
        <v>221</v>
      </c>
      <c r="N48" s="112">
        <f>44325000+44325000</f>
        <v>88650000</v>
      </c>
      <c r="O48" s="196">
        <f t="shared" si="10"/>
        <v>16.666666666666664</v>
      </c>
      <c r="P48" s="91" t="s">
        <v>139</v>
      </c>
      <c r="Q48" s="91" t="s">
        <v>141</v>
      </c>
      <c r="R48" s="88">
        <v>25591074</v>
      </c>
      <c r="S48" s="88"/>
      <c r="T48" s="88">
        <f t="shared" si="12"/>
        <v>25591074</v>
      </c>
      <c r="U48" s="204">
        <f t="shared" si="8"/>
        <v>28.867539763113363</v>
      </c>
      <c r="V48" s="8">
        <f t="shared" si="13"/>
        <v>506308926</v>
      </c>
      <c r="W48" s="304">
        <f t="shared" si="11"/>
        <v>95.18874337281444</v>
      </c>
      <c r="X48" s="7"/>
      <c r="Y48" s="38"/>
      <c r="Z48" s="46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25" customFormat="1" ht="15" customHeight="1">
      <c r="A49" s="9"/>
      <c r="B49" s="266" t="s">
        <v>186</v>
      </c>
      <c r="C49" s="9" t="s">
        <v>209</v>
      </c>
      <c r="D49" s="5" t="s">
        <v>37</v>
      </c>
      <c r="E49" s="5" t="s">
        <v>140</v>
      </c>
      <c r="F49" s="5" t="s">
        <v>181</v>
      </c>
      <c r="G49" s="9" t="s">
        <v>28</v>
      </c>
      <c r="H49" s="5" t="s">
        <v>5</v>
      </c>
      <c r="I49" s="9"/>
      <c r="J49" s="265">
        <v>50400000</v>
      </c>
      <c r="K49" s="36"/>
      <c r="L49" s="37"/>
      <c r="M49" s="7" t="s">
        <v>78</v>
      </c>
      <c r="N49" s="112">
        <f>4200000+4200000</f>
        <v>8400000</v>
      </c>
      <c r="O49" s="196">
        <f t="shared" si="10"/>
        <v>16.666666666666664</v>
      </c>
      <c r="P49" s="91" t="s">
        <v>139</v>
      </c>
      <c r="Q49" s="91" t="s">
        <v>141</v>
      </c>
      <c r="R49" s="88">
        <v>2460000</v>
      </c>
      <c r="S49" s="88"/>
      <c r="T49" s="88">
        <f t="shared" si="12"/>
        <v>2460000</v>
      </c>
      <c r="U49" s="204">
        <f t="shared" si="8"/>
        <v>29.28571428571429</v>
      </c>
      <c r="V49" s="8">
        <f t="shared" si="13"/>
        <v>47940000</v>
      </c>
      <c r="W49" s="304">
        <f t="shared" si="11"/>
        <v>95.11904761904762</v>
      </c>
      <c r="X49" s="7"/>
      <c r="Y49" s="38"/>
      <c r="Z49" s="46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25" customFormat="1" ht="15" customHeight="1">
      <c r="A50" s="9"/>
      <c r="B50" s="266" t="s">
        <v>187</v>
      </c>
      <c r="C50" s="9" t="s">
        <v>115</v>
      </c>
      <c r="D50" s="5" t="s">
        <v>37</v>
      </c>
      <c r="E50" s="5" t="s">
        <v>140</v>
      </c>
      <c r="F50" s="5" t="s">
        <v>181</v>
      </c>
      <c r="G50" s="9" t="s">
        <v>28</v>
      </c>
      <c r="H50" s="5" t="s">
        <v>5</v>
      </c>
      <c r="I50" s="9"/>
      <c r="J50" s="265">
        <v>59475000</v>
      </c>
      <c r="K50" s="36"/>
      <c r="L50" s="37"/>
      <c r="M50" s="7" t="s">
        <v>78</v>
      </c>
      <c r="N50" s="112">
        <f>4956250+4956250</f>
        <v>9912500</v>
      </c>
      <c r="O50" s="196">
        <f t="shared" si="10"/>
        <v>16.666666666666664</v>
      </c>
      <c r="P50" s="91" t="s">
        <v>139</v>
      </c>
      <c r="Q50" s="91" t="s">
        <v>141</v>
      </c>
      <c r="R50" s="88"/>
      <c r="S50" s="88"/>
      <c r="T50" s="88">
        <f t="shared" si="12"/>
        <v>0</v>
      </c>
      <c r="U50" s="204">
        <f t="shared" si="8"/>
        <v>0</v>
      </c>
      <c r="V50" s="8">
        <f t="shared" si="13"/>
        <v>59475000</v>
      </c>
      <c r="W50" s="304">
        <f t="shared" si="11"/>
        <v>100</v>
      </c>
      <c r="X50" s="7"/>
      <c r="Y50" s="38"/>
      <c r="Z50" s="46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25" customFormat="1" ht="27" customHeight="1">
      <c r="A51" s="9"/>
      <c r="B51" s="266" t="s">
        <v>188</v>
      </c>
      <c r="C51" s="9" t="s">
        <v>210</v>
      </c>
      <c r="D51" s="5" t="s">
        <v>37</v>
      </c>
      <c r="E51" s="5" t="s">
        <v>307</v>
      </c>
      <c r="F51" s="5" t="s">
        <v>181</v>
      </c>
      <c r="G51" s="9" t="s">
        <v>28</v>
      </c>
      <c r="H51" s="5" t="s">
        <v>5</v>
      </c>
      <c r="I51" s="9"/>
      <c r="J51" s="265">
        <v>19200000</v>
      </c>
      <c r="K51" s="36"/>
      <c r="L51" s="37"/>
      <c r="M51" s="7" t="s">
        <v>78</v>
      </c>
      <c r="N51" s="112">
        <v>6400000</v>
      </c>
      <c r="O51" s="196">
        <f t="shared" si="10"/>
        <v>33.33333333333333</v>
      </c>
      <c r="P51" s="91" t="s">
        <v>141</v>
      </c>
      <c r="Q51" s="91" t="s">
        <v>141</v>
      </c>
      <c r="R51" s="88"/>
      <c r="S51" s="88"/>
      <c r="T51" s="88">
        <f t="shared" si="12"/>
        <v>0</v>
      </c>
      <c r="U51" s="204">
        <v>0</v>
      </c>
      <c r="V51" s="8">
        <f t="shared" si="13"/>
        <v>19200000</v>
      </c>
      <c r="W51" s="304">
        <f t="shared" si="11"/>
        <v>100</v>
      </c>
      <c r="X51" s="7"/>
      <c r="Y51" s="38"/>
      <c r="Z51" s="46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25" customFormat="1" ht="15" customHeight="1">
      <c r="A52" s="9"/>
      <c r="B52" s="266" t="s">
        <v>189</v>
      </c>
      <c r="C52" s="9" t="s">
        <v>211</v>
      </c>
      <c r="D52" s="5" t="s">
        <v>37</v>
      </c>
      <c r="E52" s="5" t="s">
        <v>140</v>
      </c>
      <c r="F52" s="5" t="s">
        <v>181</v>
      </c>
      <c r="G52" s="9" t="s">
        <v>28</v>
      </c>
      <c r="H52" s="5" t="s">
        <v>5</v>
      </c>
      <c r="I52" s="9"/>
      <c r="J52" s="265">
        <v>1200000</v>
      </c>
      <c r="K52" s="36"/>
      <c r="L52" s="37"/>
      <c r="M52" s="7" t="s">
        <v>78</v>
      </c>
      <c r="N52" s="112">
        <f>100000+100000</f>
        <v>200000</v>
      </c>
      <c r="O52" s="196">
        <f t="shared" si="10"/>
        <v>16.666666666666664</v>
      </c>
      <c r="P52" s="91" t="s">
        <v>139</v>
      </c>
      <c r="Q52" s="91" t="s">
        <v>141</v>
      </c>
      <c r="R52" s="88">
        <v>105000</v>
      </c>
      <c r="S52" s="88"/>
      <c r="T52" s="88">
        <f t="shared" si="12"/>
        <v>105000</v>
      </c>
      <c r="U52" s="204">
        <f t="shared" si="8"/>
        <v>52.5</v>
      </c>
      <c r="V52" s="8">
        <f t="shared" si="13"/>
        <v>1095000</v>
      </c>
      <c r="W52" s="304">
        <f t="shared" si="11"/>
        <v>91.25</v>
      </c>
      <c r="X52" s="7"/>
      <c r="Y52" s="38"/>
      <c r="Z52" s="46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s="26" customFormat="1" ht="15" customHeight="1">
      <c r="A53" s="10"/>
      <c r="B53" s="267" t="s">
        <v>91</v>
      </c>
      <c r="C53" s="10" t="s">
        <v>116</v>
      </c>
      <c r="D53" s="102" t="s">
        <v>37</v>
      </c>
      <c r="E53" s="102" t="s">
        <v>140</v>
      </c>
      <c r="F53" s="102" t="s">
        <v>181</v>
      </c>
      <c r="G53" s="10" t="s">
        <v>28</v>
      </c>
      <c r="H53" s="102" t="s">
        <v>5</v>
      </c>
      <c r="I53" s="10"/>
      <c r="J53" s="264">
        <f>SUM(J54:J55)</f>
        <v>88295280</v>
      </c>
      <c r="K53" s="103"/>
      <c r="L53" s="104"/>
      <c r="M53" s="105"/>
      <c r="N53" s="110">
        <f>SUM(N54:N55)</f>
        <v>14715880</v>
      </c>
      <c r="O53" s="195">
        <f t="shared" si="10"/>
        <v>16.666666666666664</v>
      </c>
      <c r="P53" s="170" t="s">
        <v>139</v>
      </c>
      <c r="Q53" s="170" t="s">
        <v>141</v>
      </c>
      <c r="R53" s="89">
        <f>SUM(R54:R55)</f>
        <v>5748670</v>
      </c>
      <c r="S53" s="89">
        <f>SUM(S54:S55)</f>
        <v>0</v>
      </c>
      <c r="T53" s="89">
        <f t="shared" si="12"/>
        <v>5748670</v>
      </c>
      <c r="U53" s="204">
        <f t="shared" si="8"/>
        <v>39.064398459351395</v>
      </c>
      <c r="V53" s="86">
        <f>SUM(V54:V55)</f>
        <v>82546610</v>
      </c>
      <c r="W53" s="303">
        <f t="shared" si="11"/>
        <v>93.48926692344143</v>
      </c>
      <c r="X53" s="105"/>
      <c r="Y53" s="106"/>
      <c r="Z53" s="45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25" customFormat="1" ht="15" customHeight="1">
      <c r="A54" s="9"/>
      <c r="B54" s="266" t="s">
        <v>190</v>
      </c>
      <c r="C54" s="9" t="s">
        <v>212</v>
      </c>
      <c r="D54" s="5" t="s">
        <v>37</v>
      </c>
      <c r="E54" s="5" t="s">
        <v>140</v>
      </c>
      <c r="F54" s="5" t="s">
        <v>181</v>
      </c>
      <c r="G54" s="9" t="s">
        <v>28</v>
      </c>
      <c r="H54" s="5" t="s">
        <v>5</v>
      </c>
      <c r="I54" s="9"/>
      <c r="J54" s="265">
        <v>79688460</v>
      </c>
      <c r="K54" s="36"/>
      <c r="L54" s="37"/>
      <c r="M54" s="7" t="s">
        <v>78</v>
      </c>
      <c r="N54" s="112">
        <f>6640705+6640705</f>
        <v>13281410</v>
      </c>
      <c r="O54" s="196">
        <f t="shared" si="10"/>
        <v>16.666666666666664</v>
      </c>
      <c r="P54" s="91" t="s">
        <v>139</v>
      </c>
      <c r="Q54" s="91" t="s">
        <v>141</v>
      </c>
      <c r="R54" s="88">
        <v>5748670</v>
      </c>
      <c r="S54" s="88"/>
      <c r="T54" s="88">
        <f t="shared" si="12"/>
        <v>5748670</v>
      </c>
      <c r="U54" s="204">
        <f t="shared" si="8"/>
        <v>43.28358208955223</v>
      </c>
      <c r="V54" s="8">
        <f t="shared" si="13"/>
        <v>73939790</v>
      </c>
      <c r="W54" s="304">
        <f t="shared" si="11"/>
        <v>92.7860696517413</v>
      </c>
      <c r="X54" s="7"/>
      <c r="Y54" s="38"/>
      <c r="Z54" s="46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s="25" customFormat="1" ht="15" customHeight="1">
      <c r="A55" s="9"/>
      <c r="B55" s="266" t="s">
        <v>191</v>
      </c>
      <c r="C55" s="9" t="s">
        <v>143</v>
      </c>
      <c r="D55" s="5" t="s">
        <v>37</v>
      </c>
      <c r="E55" s="5" t="s">
        <v>140</v>
      </c>
      <c r="F55" s="5" t="s">
        <v>181</v>
      </c>
      <c r="G55" s="9" t="s">
        <v>28</v>
      </c>
      <c r="H55" s="5" t="s">
        <v>5</v>
      </c>
      <c r="I55" s="9"/>
      <c r="J55" s="265">
        <v>8606820</v>
      </c>
      <c r="K55" s="36"/>
      <c r="L55" s="37"/>
      <c r="M55" s="7" t="s">
        <v>78</v>
      </c>
      <c r="N55" s="112">
        <f>717235+717235</f>
        <v>1434470</v>
      </c>
      <c r="O55" s="196">
        <f t="shared" si="10"/>
        <v>16.666666666666664</v>
      </c>
      <c r="P55" s="91" t="s">
        <v>139</v>
      </c>
      <c r="Q55" s="91" t="s">
        <v>141</v>
      </c>
      <c r="R55" s="88"/>
      <c r="S55" s="88"/>
      <c r="T55" s="88">
        <f t="shared" si="12"/>
        <v>0</v>
      </c>
      <c r="U55" s="204">
        <f t="shared" si="8"/>
        <v>0</v>
      </c>
      <c r="V55" s="8">
        <f t="shared" si="13"/>
        <v>8606820</v>
      </c>
      <c r="W55" s="304">
        <f t="shared" si="11"/>
        <v>100</v>
      </c>
      <c r="X55" s="7"/>
      <c r="Y55" s="38"/>
      <c r="Z55" s="46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26" customFormat="1" ht="15" customHeight="1">
      <c r="A56" s="10"/>
      <c r="B56" s="267" t="s">
        <v>92</v>
      </c>
      <c r="C56" s="10" t="s">
        <v>117</v>
      </c>
      <c r="D56" s="102" t="s">
        <v>37</v>
      </c>
      <c r="E56" s="102" t="s">
        <v>140</v>
      </c>
      <c r="F56" s="102" t="s">
        <v>181</v>
      </c>
      <c r="G56" s="10" t="s">
        <v>28</v>
      </c>
      <c r="H56" s="102" t="s">
        <v>5</v>
      </c>
      <c r="I56" s="10"/>
      <c r="J56" s="264">
        <f>SUM(J57:J58)</f>
        <v>149121500</v>
      </c>
      <c r="K56" s="103"/>
      <c r="L56" s="104"/>
      <c r="M56" s="105"/>
      <c r="N56" s="175">
        <f>N57+N58</f>
        <v>26070000</v>
      </c>
      <c r="O56" s="195">
        <f t="shared" si="10"/>
        <v>17.482388522111165</v>
      </c>
      <c r="P56" s="170" t="s">
        <v>139</v>
      </c>
      <c r="Q56" s="170" t="s">
        <v>141</v>
      </c>
      <c r="R56" s="89">
        <f>SUM(R57:R58)</f>
        <v>14490000</v>
      </c>
      <c r="S56" s="89">
        <f>SUM(S57:S58)</f>
        <v>0</v>
      </c>
      <c r="T56" s="89">
        <f t="shared" si="12"/>
        <v>14490000</v>
      </c>
      <c r="U56" s="204">
        <v>0</v>
      </c>
      <c r="V56" s="86">
        <f>SUM(V57:V58)</f>
        <v>134631500</v>
      </c>
      <c r="W56" s="303">
        <f t="shared" si="11"/>
        <v>90.28309130474143</v>
      </c>
      <c r="X56" s="105"/>
      <c r="Y56" s="106"/>
      <c r="Z56" s="45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25" customFormat="1" ht="15" customHeight="1">
      <c r="A57" s="9"/>
      <c r="B57" s="266" t="s">
        <v>192</v>
      </c>
      <c r="C57" s="9" t="s">
        <v>136</v>
      </c>
      <c r="D57" s="5" t="s">
        <v>37</v>
      </c>
      <c r="E57" s="5" t="s">
        <v>140</v>
      </c>
      <c r="F57" s="5" t="s">
        <v>181</v>
      </c>
      <c r="G57" s="9" t="s">
        <v>28</v>
      </c>
      <c r="H57" s="5" t="s">
        <v>5</v>
      </c>
      <c r="I57" s="9"/>
      <c r="J57" s="265">
        <v>147651500</v>
      </c>
      <c r="K57" s="36"/>
      <c r="L57" s="37"/>
      <c r="M57" s="7" t="s">
        <v>78</v>
      </c>
      <c r="N57" s="25">
        <f>12300000+12300000</f>
        <v>24600000</v>
      </c>
      <c r="O57" s="196">
        <f t="shared" si="10"/>
        <v>16.66085342851241</v>
      </c>
      <c r="P57" s="91" t="s">
        <v>139</v>
      </c>
      <c r="Q57" s="91" t="s">
        <v>141</v>
      </c>
      <c r="R57" s="88">
        <v>14490000</v>
      </c>
      <c r="S57" s="88"/>
      <c r="T57" s="88">
        <f t="shared" si="12"/>
        <v>14490000</v>
      </c>
      <c r="U57" s="204">
        <f>T57/N57*100</f>
        <v>58.90243902439024</v>
      </c>
      <c r="V57" s="8">
        <f t="shared" si="13"/>
        <v>133161500</v>
      </c>
      <c r="W57" s="304">
        <f t="shared" si="11"/>
        <v>90.18635096832745</v>
      </c>
      <c r="X57" s="7"/>
      <c r="Y57" s="38"/>
      <c r="Z57" s="46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5" customFormat="1" ht="27">
      <c r="A58" s="9"/>
      <c r="B58" s="266" t="s">
        <v>193</v>
      </c>
      <c r="C58" s="9" t="s">
        <v>118</v>
      </c>
      <c r="D58" s="5" t="s">
        <v>37</v>
      </c>
      <c r="E58" s="5" t="s">
        <v>140</v>
      </c>
      <c r="F58" s="5" t="s">
        <v>181</v>
      </c>
      <c r="G58" s="9" t="s">
        <v>28</v>
      </c>
      <c r="H58" s="5" t="s">
        <v>5</v>
      </c>
      <c r="I58" s="9"/>
      <c r="J58" s="265">
        <v>1470000</v>
      </c>
      <c r="K58" s="36"/>
      <c r="L58" s="37"/>
      <c r="M58" s="7" t="s">
        <v>78</v>
      </c>
      <c r="N58" s="112">
        <f>1470000</f>
        <v>1470000</v>
      </c>
      <c r="O58" s="196">
        <f t="shared" si="10"/>
        <v>100</v>
      </c>
      <c r="P58" s="91" t="s">
        <v>139</v>
      </c>
      <c r="Q58" s="91" t="s">
        <v>139</v>
      </c>
      <c r="R58" s="88"/>
      <c r="S58" s="88"/>
      <c r="T58" s="88">
        <f t="shared" si="12"/>
        <v>0</v>
      </c>
      <c r="U58" s="204">
        <f t="shared" si="8"/>
        <v>0</v>
      </c>
      <c r="V58" s="8">
        <f t="shared" si="13"/>
        <v>1470000</v>
      </c>
      <c r="W58" s="304">
        <f t="shared" si="11"/>
        <v>100</v>
      </c>
      <c r="X58" s="7"/>
      <c r="Y58" s="38"/>
      <c r="Z58" s="46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26" customFormat="1" ht="15" customHeight="1">
      <c r="A59" s="10"/>
      <c r="B59" s="267" t="s">
        <v>194</v>
      </c>
      <c r="C59" s="10" t="s">
        <v>213</v>
      </c>
      <c r="D59" s="102" t="s">
        <v>37</v>
      </c>
      <c r="E59" s="102" t="s">
        <v>306</v>
      </c>
      <c r="F59" s="102" t="s">
        <v>181</v>
      </c>
      <c r="G59" s="10" t="s">
        <v>28</v>
      </c>
      <c r="H59" s="102" t="s">
        <v>5</v>
      </c>
      <c r="I59" s="10"/>
      <c r="J59" s="264">
        <f>SUM(J60:J63)</f>
        <v>44468000</v>
      </c>
      <c r="K59" s="103"/>
      <c r="L59" s="104"/>
      <c r="M59" s="105"/>
      <c r="N59" s="110">
        <f>SUM(N60:N63)</f>
        <v>44468000</v>
      </c>
      <c r="O59" s="195">
        <f t="shared" si="10"/>
        <v>100</v>
      </c>
      <c r="P59" s="170" t="s">
        <v>139</v>
      </c>
      <c r="Q59" s="170" t="s">
        <v>139</v>
      </c>
      <c r="R59" s="89">
        <f>SUM(R60:R63)</f>
        <v>0</v>
      </c>
      <c r="S59" s="89">
        <f>SUM(S60:S63)</f>
        <v>0</v>
      </c>
      <c r="T59" s="89">
        <f t="shared" si="12"/>
        <v>0</v>
      </c>
      <c r="U59" s="204">
        <f t="shared" si="8"/>
        <v>0</v>
      </c>
      <c r="V59" s="86">
        <f>SUM(V60:V63)</f>
        <v>44468000</v>
      </c>
      <c r="W59" s="303">
        <f t="shared" si="11"/>
        <v>100</v>
      </c>
      <c r="X59" s="105"/>
      <c r="Y59" s="106"/>
      <c r="Z59" s="45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25" customFormat="1" ht="15" customHeight="1">
      <c r="A60" s="9"/>
      <c r="B60" s="266" t="s">
        <v>195</v>
      </c>
      <c r="C60" s="9" t="s">
        <v>214</v>
      </c>
      <c r="D60" s="5" t="s">
        <v>37</v>
      </c>
      <c r="E60" s="5" t="s">
        <v>306</v>
      </c>
      <c r="F60" s="5" t="s">
        <v>181</v>
      </c>
      <c r="G60" s="9" t="s">
        <v>28</v>
      </c>
      <c r="H60" s="5" t="s">
        <v>5</v>
      </c>
      <c r="I60" s="9"/>
      <c r="J60" s="265">
        <v>14000000</v>
      </c>
      <c r="K60" s="36"/>
      <c r="L60" s="37"/>
      <c r="M60" s="7" t="s">
        <v>221</v>
      </c>
      <c r="N60" s="112">
        <v>14000000</v>
      </c>
      <c r="O60" s="196">
        <f t="shared" si="10"/>
        <v>100</v>
      </c>
      <c r="P60" s="91" t="s">
        <v>139</v>
      </c>
      <c r="Q60" s="91" t="s">
        <v>139</v>
      </c>
      <c r="R60" s="88"/>
      <c r="S60" s="88"/>
      <c r="T60" s="88">
        <f t="shared" si="12"/>
        <v>0</v>
      </c>
      <c r="U60" s="204">
        <f t="shared" si="8"/>
        <v>0</v>
      </c>
      <c r="V60" s="8">
        <f t="shared" si="13"/>
        <v>14000000</v>
      </c>
      <c r="W60" s="304">
        <f t="shared" si="11"/>
        <v>100</v>
      </c>
      <c r="X60" s="7"/>
      <c r="Y60" s="38"/>
      <c r="Z60" s="46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s="25" customFormat="1" ht="15" customHeight="1">
      <c r="A61" s="9"/>
      <c r="B61" s="266" t="s">
        <v>196</v>
      </c>
      <c r="C61" s="9" t="s">
        <v>215</v>
      </c>
      <c r="D61" s="5" t="s">
        <v>37</v>
      </c>
      <c r="E61" s="5" t="s">
        <v>306</v>
      </c>
      <c r="F61" s="5" t="s">
        <v>181</v>
      </c>
      <c r="G61" s="9" t="s">
        <v>28</v>
      </c>
      <c r="H61" s="5" t="s">
        <v>5</v>
      </c>
      <c r="I61" s="9"/>
      <c r="J61" s="265">
        <v>12000000</v>
      </c>
      <c r="K61" s="36"/>
      <c r="L61" s="37"/>
      <c r="M61" s="7" t="s">
        <v>221</v>
      </c>
      <c r="N61" s="112">
        <v>12000000</v>
      </c>
      <c r="O61" s="196">
        <f t="shared" si="10"/>
        <v>100</v>
      </c>
      <c r="P61" s="91" t="s">
        <v>139</v>
      </c>
      <c r="Q61" s="91" t="s">
        <v>139</v>
      </c>
      <c r="R61" s="88"/>
      <c r="S61" s="88"/>
      <c r="T61" s="88">
        <f t="shared" si="12"/>
        <v>0</v>
      </c>
      <c r="U61" s="204">
        <f t="shared" si="8"/>
        <v>0</v>
      </c>
      <c r="V61" s="8">
        <f t="shared" si="13"/>
        <v>12000000</v>
      </c>
      <c r="W61" s="304">
        <f t="shared" si="11"/>
        <v>100</v>
      </c>
      <c r="X61" s="7"/>
      <c r="Y61" s="38"/>
      <c r="Z61" s="46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s="25" customFormat="1" ht="15" customHeight="1">
      <c r="A62" s="9"/>
      <c r="B62" s="266" t="s">
        <v>197</v>
      </c>
      <c r="C62" s="9" t="s">
        <v>216</v>
      </c>
      <c r="D62" s="5" t="s">
        <v>37</v>
      </c>
      <c r="E62" s="5" t="s">
        <v>306</v>
      </c>
      <c r="F62" s="5" t="s">
        <v>181</v>
      </c>
      <c r="G62" s="9" t="s">
        <v>28</v>
      </c>
      <c r="H62" s="5" t="s">
        <v>5</v>
      </c>
      <c r="I62" s="9"/>
      <c r="J62" s="265">
        <v>6468000</v>
      </c>
      <c r="K62" s="36"/>
      <c r="L62" s="37"/>
      <c r="M62" s="7" t="s">
        <v>221</v>
      </c>
      <c r="N62" s="112">
        <v>6468000</v>
      </c>
      <c r="O62" s="196">
        <f t="shared" si="10"/>
        <v>100</v>
      </c>
      <c r="P62" s="91" t="s">
        <v>139</v>
      </c>
      <c r="Q62" s="91" t="s">
        <v>139</v>
      </c>
      <c r="R62" s="88"/>
      <c r="S62" s="88"/>
      <c r="T62" s="88">
        <f t="shared" si="12"/>
        <v>0</v>
      </c>
      <c r="U62" s="204">
        <f t="shared" si="8"/>
        <v>0</v>
      </c>
      <c r="V62" s="8">
        <f t="shared" si="13"/>
        <v>6468000</v>
      </c>
      <c r="W62" s="304">
        <f t="shared" si="11"/>
        <v>100</v>
      </c>
      <c r="X62" s="7"/>
      <c r="Y62" s="38"/>
      <c r="Z62" s="46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s="25" customFormat="1" ht="15" customHeight="1">
      <c r="A63" s="9"/>
      <c r="B63" s="266" t="s">
        <v>198</v>
      </c>
      <c r="C63" s="9" t="s">
        <v>217</v>
      </c>
      <c r="D63" s="5" t="s">
        <v>37</v>
      </c>
      <c r="E63" s="5" t="s">
        <v>306</v>
      </c>
      <c r="F63" s="5" t="s">
        <v>181</v>
      </c>
      <c r="G63" s="9" t="s">
        <v>28</v>
      </c>
      <c r="H63" s="5" t="s">
        <v>5</v>
      </c>
      <c r="I63" s="9"/>
      <c r="J63" s="265">
        <v>12000000</v>
      </c>
      <c r="K63" s="36"/>
      <c r="L63" s="37"/>
      <c r="M63" s="7" t="s">
        <v>221</v>
      </c>
      <c r="N63" s="112">
        <v>12000000</v>
      </c>
      <c r="O63" s="196">
        <f t="shared" si="10"/>
        <v>100</v>
      </c>
      <c r="P63" s="91" t="s">
        <v>139</v>
      </c>
      <c r="Q63" s="91" t="s">
        <v>139</v>
      </c>
      <c r="R63" s="88"/>
      <c r="S63" s="88"/>
      <c r="T63" s="88">
        <f t="shared" si="12"/>
        <v>0</v>
      </c>
      <c r="U63" s="204">
        <f t="shared" si="8"/>
        <v>0</v>
      </c>
      <c r="V63" s="8">
        <f t="shared" si="13"/>
        <v>12000000</v>
      </c>
      <c r="W63" s="304">
        <f t="shared" si="11"/>
        <v>100</v>
      </c>
      <c r="X63" s="7"/>
      <c r="Y63" s="38"/>
      <c r="Z63" s="46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s="26" customFormat="1" ht="15" customHeight="1">
      <c r="A64" s="10"/>
      <c r="B64" s="267" t="s">
        <v>199</v>
      </c>
      <c r="C64" s="10" t="s">
        <v>218</v>
      </c>
      <c r="D64" s="102" t="s">
        <v>37</v>
      </c>
      <c r="E64" s="102" t="s">
        <v>306</v>
      </c>
      <c r="F64" s="102" t="s">
        <v>181</v>
      </c>
      <c r="G64" s="10" t="s">
        <v>28</v>
      </c>
      <c r="H64" s="102" t="s">
        <v>5</v>
      </c>
      <c r="I64" s="10"/>
      <c r="J64" s="264">
        <f>SUM(J65:J66)</f>
        <v>64500000</v>
      </c>
      <c r="K64" s="103"/>
      <c r="L64" s="104"/>
      <c r="M64" s="105"/>
      <c r="N64" s="110">
        <f>SUM(N65:N66)</f>
        <v>64500000</v>
      </c>
      <c r="O64" s="195">
        <f t="shared" si="10"/>
        <v>100</v>
      </c>
      <c r="P64" s="170" t="s">
        <v>139</v>
      </c>
      <c r="Q64" s="170" t="s">
        <v>139</v>
      </c>
      <c r="R64" s="89">
        <f>SUM(R65:R66)</f>
        <v>0</v>
      </c>
      <c r="S64" s="89">
        <f>SUM(S65:S66)</f>
        <v>0</v>
      </c>
      <c r="T64" s="89">
        <f t="shared" si="12"/>
        <v>0</v>
      </c>
      <c r="U64" s="204">
        <f t="shared" si="8"/>
        <v>0</v>
      </c>
      <c r="V64" s="86">
        <f>SUM(V65:V66)</f>
        <v>64500000</v>
      </c>
      <c r="W64" s="303">
        <f t="shared" si="11"/>
        <v>100</v>
      </c>
      <c r="X64" s="105"/>
      <c r="Y64" s="106"/>
      <c r="Z64" s="45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25" customFormat="1" ht="15" customHeight="1">
      <c r="A65" s="9"/>
      <c r="B65" s="266" t="s">
        <v>200</v>
      </c>
      <c r="C65" s="9" t="s">
        <v>219</v>
      </c>
      <c r="D65" s="5" t="s">
        <v>37</v>
      </c>
      <c r="E65" s="5" t="s">
        <v>306</v>
      </c>
      <c r="F65" s="5" t="s">
        <v>181</v>
      </c>
      <c r="G65" s="9" t="s">
        <v>28</v>
      </c>
      <c r="H65" s="5" t="s">
        <v>5</v>
      </c>
      <c r="I65" s="9"/>
      <c r="J65" s="265">
        <v>60000000</v>
      </c>
      <c r="K65" s="36"/>
      <c r="L65" s="37"/>
      <c r="M65" s="7" t="s">
        <v>221</v>
      </c>
      <c r="N65" s="112">
        <v>60000000</v>
      </c>
      <c r="O65" s="196">
        <f t="shared" si="10"/>
        <v>100</v>
      </c>
      <c r="P65" s="91" t="s">
        <v>139</v>
      </c>
      <c r="Q65" s="91" t="s">
        <v>139</v>
      </c>
      <c r="R65" s="88"/>
      <c r="S65" s="88"/>
      <c r="T65" s="88">
        <f t="shared" si="12"/>
        <v>0</v>
      </c>
      <c r="U65" s="204">
        <f t="shared" si="8"/>
        <v>0</v>
      </c>
      <c r="V65" s="8">
        <f t="shared" si="13"/>
        <v>60000000</v>
      </c>
      <c r="W65" s="304">
        <f t="shared" si="11"/>
        <v>100</v>
      </c>
      <c r="X65" s="7"/>
      <c r="Y65" s="38"/>
      <c r="Z65" s="46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s="25" customFormat="1" ht="15" customHeight="1">
      <c r="A66" s="9"/>
      <c r="B66" s="266" t="s">
        <v>201</v>
      </c>
      <c r="C66" s="9" t="s">
        <v>220</v>
      </c>
      <c r="D66" s="5" t="s">
        <v>37</v>
      </c>
      <c r="E66" s="5" t="s">
        <v>308</v>
      </c>
      <c r="F66" s="5" t="s">
        <v>181</v>
      </c>
      <c r="G66" s="9" t="s">
        <v>28</v>
      </c>
      <c r="H66" s="5" t="s">
        <v>5</v>
      </c>
      <c r="I66" s="9"/>
      <c r="J66" s="265">
        <v>4500000</v>
      </c>
      <c r="K66" s="36"/>
      <c r="L66" s="37"/>
      <c r="M66" s="7" t="s">
        <v>78</v>
      </c>
      <c r="N66" s="112">
        <v>4500000</v>
      </c>
      <c r="O66" s="196">
        <f t="shared" si="10"/>
        <v>100</v>
      </c>
      <c r="P66" s="91" t="s">
        <v>139</v>
      </c>
      <c r="Q66" s="91" t="s">
        <v>139</v>
      </c>
      <c r="R66" s="88"/>
      <c r="S66" s="88"/>
      <c r="T66" s="88">
        <f t="shared" si="12"/>
        <v>0</v>
      </c>
      <c r="U66" s="204">
        <f t="shared" si="8"/>
        <v>0</v>
      </c>
      <c r="V66" s="8">
        <f t="shared" si="13"/>
        <v>4500000</v>
      </c>
      <c r="W66" s="304">
        <f t="shared" si="11"/>
        <v>100</v>
      </c>
      <c r="X66" s="7"/>
      <c r="Y66" s="38"/>
      <c r="Z66" s="46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s="26" customFormat="1" ht="15" customHeight="1">
      <c r="A67" s="10"/>
      <c r="B67" s="267" t="s">
        <v>93</v>
      </c>
      <c r="C67" s="10" t="s">
        <v>119</v>
      </c>
      <c r="D67" s="102" t="s">
        <v>37</v>
      </c>
      <c r="E67" s="102" t="s">
        <v>140</v>
      </c>
      <c r="F67" s="102" t="s">
        <v>181</v>
      </c>
      <c r="G67" s="10" t="s">
        <v>28</v>
      </c>
      <c r="H67" s="102" t="s">
        <v>5</v>
      </c>
      <c r="I67" s="10"/>
      <c r="J67" s="264">
        <f>SUM(J68:J69)</f>
        <v>1880959000</v>
      </c>
      <c r="K67" s="103"/>
      <c r="L67" s="104"/>
      <c r="M67" s="105"/>
      <c r="N67" s="110">
        <f>SUM(N68:N69)</f>
        <v>336725000</v>
      </c>
      <c r="O67" s="195">
        <f t="shared" si="10"/>
        <v>17.90177244692734</v>
      </c>
      <c r="P67" s="170" t="s">
        <v>139</v>
      </c>
      <c r="Q67" s="170" t="s">
        <v>139</v>
      </c>
      <c r="R67" s="89">
        <f>SUM(R68:R69)</f>
        <v>98582839</v>
      </c>
      <c r="S67" s="89">
        <f>SUM(S68:S69)</f>
        <v>0</v>
      </c>
      <c r="T67" s="89">
        <f t="shared" si="12"/>
        <v>98582839</v>
      </c>
      <c r="U67" s="204">
        <f t="shared" si="8"/>
        <v>29.276958645779196</v>
      </c>
      <c r="V67" s="86">
        <f>SUM(V68:V69)</f>
        <v>1782376161</v>
      </c>
      <c r="W67" s="303">
        <f t="shared" si="11"/>
        <v>94.75890548385159</v>
      </c>
      <c r="X67" s="105"/>
      <c r="Y67" s="106"/>
      <c r="Z67" s="45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25" customFormat="1" ht="15" customHeight="1">
      <c r="A68" s="9"/>
      <c r="B68" s="266" t="s">
        <v>202</v>
      </c>
      <c r="C68" s="9" t="s">
        <v>120</v>
      </c>
      <c r="D68" s="5" t="s">
        <v>37</v>
      </c>
      <c r="E68" s="5" t="s">
        <v>140</v>
      </c>
      <c r="F68" s="5" t="s">
        <v>181</v>
      </c>
      <c r="G68" s="9" t="s">
        <v>28</v>
      </c>
      <c r="H68" s="5" t="s">
        <v>5</v>
      </c>
      <c r="I68" s="9"/>
      <c r="J68" s="265">
        <v>220350000</v>
      </c>
      <c r="K68" s="36"/>
      <c r="L68" s="37"/>
      <c r="M68" s="7" t="s">
        <v>78</v>
      </c>
      <c r="N68" s="112">
        <f>18362500+18362500</f>
        <v>36725000</v>
      </c>
      <c r="O68" s="196">
        <f t="shared" si="10"/>
        <v>16.666666666666664</v>
      </c>
      <c r="P68" s="91" t="s">
        <v>139</v>
      </c>
      <c r="Q68" s="91" t="s">
        <v>139</v>
      </c>
      <c r="R68" s="88">
        <v>18600000</v>
      </c>
      <c r="S68" s="88"/>
      <c r="T68" s="88">
        <f t="shared" si="12"/>
        <v>18600000</v>
      </c>
      <c r="U68" s="204">
        <f t="shared" si="8"/>
        <v>50.64669843430906</v>
      </c>
      <c r="V68" s="8">
        <f t="shared" si="13"/>
        <v>201750000</v>
      </c>
      <c r="W68" s="304">
        <f t="shared" si="11"/>
        <v>91.55888359428182</v>
      </c>
      <c r="X68" s="7"/>
      <c r="Y68" s="38"/>
      <c r="Z68" s="46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s="25" customFormat="1" ht="15" customHeight="1">
      <c r="A69" s="9"/>
      <c r="B69" s="266" t="s">
        <v>203</v>
      </c>
      <c r="C69" s="9" t="s">
        <v>121</v>
      </c>
      <c r="D69" s="5" t="s">
        <v>37</v>
      </c>
      <c r="E69" s="5" t="s">
        <v>140</v>
      </c>
      <c r="F69" s="5" t="s">
        <v>181</v>
      </c>
      <c r="G69" s="9" t="s">
        <v>28</v>
      </c>
      <c r="H69" s="5" t="s">
        <v>5</v>
      </c>
      <c r="I69" s="9"/>
      <c r="J69" s="265">
        <v>1660609000</v>
      </c>
      <c r="K69" s="36"/>
      <c r="L69" s="37"/>
      <c r="M69" s="7" t="s">
        <v>78</v>
      </c>
      <c r="N69" s="112">
        <f>150000000+150000000</f>
        <v>300000000</v>
      </c>
      <c r="O69" s="196">
        <f t="shared" si="10"/>
        <v>18.065661453117503</v>
      </c>
      <c r="P69" s="91" t="s">
        <v>139</v>
      </c>
      <c r="Q69" s="91" t="s">
        <v>139</v>
      </c>
      <c r="R69" s="88">
        <v>79982839</v>
      </c>
      <c r="S69" s="88"/>
      <c r="T69" s="88">
        <f t="shared" si="12"/>
        <v>79982839</v>
      </c>
      <c r="U69" s="204">
        <f t="shared" si="8"/>
        <v>26.660946333333335</v>
      </c>
      <c r="V69" s="8">
        <f t="shared" si="13"/>
        <v>1580626161</v>
      </c>
      <c r="W69" s="304">
        <f t="shared" si="11"/>
        <v>95.18352369522266</v>
      </c>
      <c r="X69" s="7"/>
      <c r="Y69" s="38"/>
      <c r="Z69" s="46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s="26" customFormat="1" ht="15" customHeight="1">
      <c r="A70" s="10"/>
      <c r="B70" s="267" t="s">
        <v>204</v>
      </c>
      <c r="C70" s="10" t="s">
        <v>122</v>
      </c>
      <c r="D70" s="102" t="s">
        <v>37</v>
      </c>
      <c r="E70" s="102" t="s">
        <v>140</v>
      </c>
      <c r="F70" s="102" t="s">
        <v>181</v>
      </c>
      <c r="G70" s="10" t="s">
        <v>28</v>
      </c>
      <c r="H70" s="102" t="s">
        <v>5</v>
      </c>
      <c r="I70" s="10"/>
      <c r="J70" s="264">
        <f>SUM(J71:J72)</f>
        <v>1045728000</v>
      </c>
      <c r="K70" s="103"/>
      <c r="L70" s="104"/>
      <c r="M70" s="105"/>
      <c r="N70" s="110">
        <f>SUM(N71:N72)</f>
        <v>182632000</v>
      </c>
      <c r="O70" s="195">
        <f t="shared" si="10"/>
        <v>17.464579699501208</v>
      </c>
      <c r="P70" s="170" t="s">
        <v>139</v>
      </c>
      <c r="Q70" s="170" t="s">
        <v>139</v>
      </c>
      <c r="R70" s="89">
        <f>R71+R72</f>
        <v>73500000</v>
      </c>
      <c r="S70" s="89">
        <f>S71+S72</f>
        <v>67100000</v>
      </c>
      <c r="T70" s="89">
        <f t="shared" si="12"/>
        <v>140600000</v>
      </c>
      <c r="U70" s="204">
        <f t="shared" si="8"/>
        <v>76.98541329011344</v>
      </c>
      <c r="V70" s="86">
        <f>SUM(V71:V72)</f>
        <v>905128000</v>
      </c>
      <c r="W70" s="303">
        <f t="shared" si="11"/>
        <v>86.55482113895773</v>
      </c>
      <c r="X70" s="105"/>
      <c r="Y70" s="106"/>
      <c r="Z70" s="45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25" customFormat="1" ht="15" customHeight="1">
      <c r="A71" s="9"/>
      <c r="B71" s="266" t="s">
        <v>205</v>
      </c>
      <c r="C71" s="9" t="s">
        <v>123</v>
      </c>
      <c r="D71" s="5" t="s">
        <v>37</v>
      </c>
      <c r="E71" s="5" t="s">
        <v>140</v>
      </c>
      <c r="F71" s="5" t="s">
        <v>181</v>
      </c>
      <c r="G71" s="9" t="s">
        <v>28</v>
      </c>
      <c r="H71" s="5" t="s">
        <v>5</v>
      </c>
      <c r="I71" s="9"/>
      <c r="J71" s="265">
        <v>945600000</v>
      </c>
      <c r="K71" s="36"/>
      <c r="L71" s="37"/>
      <c r="M71" s="7" t="s">
        <v>78</v>
      </c>
      <c r="N71" s="112">
        <f>78800000+87144000</f>
        <v>165944000</v>
      </c>
      <c r="O71" s="196">
        <f t="shared" si="10"/>
        <v>17.54906937394247</v>
      </c>
      <c r="P71" s="91" t="s">
        <v>139</v>
      </c>
      <c r="Q71" s="91" t="s">
        <v>139</v>
      </c>
      <c r="R71" s="88">
        <v>73500000</v>
      </c>
      <c r="S71" s="88">
        <v>67100000</v>
      </c>
      <c r="T71" s="88">
        <f t="shared" si="12"/>
        <v>140600000</v>
      </c>
      <c r="U71" s="204">
        <f t="shared" si="8"/>
        <v>84.72737791062045</v>
      </c>
      <c r="V71" s="8">
        <f t="shared" si="13"/>
        <v>805000000</v>
      </c>
      <c r="W71" s="304">
        <f t="shared" si="11"/>
        <v>85.13113367174282</v>
      </c>
      <c r="X71" s="7"/>
      <c r="Y71" s="38"/>
      <c r="Z71" s="46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s="25" customFormat="1" ht="15" customHeight="1">
      <c r="A72" s="208"/>
      <c r="B72" s="266" t="s">
        <v>95</v>
      </c>
      <c r="C72" s="268" t="s">
        <v>124</v>
      </c>
      <c r="D72" s="5" t="s">
        <v>37</v>
      </c>
      <c r="E72" s="5" t="s">
        <v>140</v>
      </c>
      <c r="F72" s="5" t="s">
        <v>181</v>
      </c>
      <c r="G72" s="9" t="s">
        <v>28</v>
      </c>
      <c r="H72" s="5" t="s">
        <v>5</v>
      </c>
      <c r="I72" s="269"/>
      <c r="J72" s="265">
        <v>100128000</v>
      </c>
      <c r="K72" s="269"/>
      <c r="L72" s="269"/>
      <c r="M72" s="7" t="s">
        <v>78</v>
      </c>
      <c r="N72" s="209">
        <f>8344000+8344000</f>
        <v>16688000</v>
      </c>
      <c r="O72" s="196">
        <f t="shared" si="10"/>
        <v>16.666666666666664</v>
      </c>
      <c r="P72" s="91" t="s">
        <v>139</v>
      </c>
      <c r="Q72" s="91" t="s">
        <v>139</v>
      </c>
      <c r="R72" s="88"/>
      <c r="S72" s="88"/>
      <c r="T72" s="88">
        <f t="shared" si="12"/>
        <v>0</v>
      </c>
      <c r="U72" s="204">
        <f t="shared" si="8"/>
        <v>0</v>
      </c>
      <c r="V72" s="8">
        <f t="shared" si="13"/>
        <v>100128000</v>
      </c>
      <c r="W72" s="304">
        <f t="shared" si="11"/>
        <v>100</v>
      </c>
      <c r="X72" s="7"/>
      <c r="Y72" s="38"/>
      <c r="Z72" s="46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s="26" customFormat="1" ht="13.5">
      <c r="A73" s="348" t="s">
        <v>19</v>
      </c>
      <c r="B73" s="352" t="s">
        <v>17</v>
      </c>
      <c r="C73" s="350"/>
      <c r="D73" s="350"/>
      <c r="E73" s="350"/>
      <c r="F73" s="350"/>
      <c r="G73" s="350"/>
      <c r="H73" s="350"/>
      <c r="I73" s="350"/>
      <c r="J73" s="351">
        <f>J75</f>
        <v>2016052000</v>
      </c>
      <c r="K73" s="351"/>
      <c r="L73" s="351"/>
      <c r="M73" s="351"/>
      <c r="N73" s="353">
        <f>N75</f>
        <v>335392000</v>
      </c>
      <c r="O73" s="355"/>
      <c r="P73" s="351"/>
      <c r="Q73" s="351"/>
      <c r="R73" s="353">
        <f>R75</f>
        <v>92857206</v>
      </c>
      <c r="S73" s="353">
        <f>S75</f>
        <v>18000000</v>
      </c>
      <c r="T73" s="353">
        <f>T75</f>
        <v>110857206</v>
      </c>
      <c r="U73" s="357">
        <f>T73/N73*100</f>
        <v>33.053026309512454</v>
      </c>
      <c r="V73" s="351">
        <f>V75</f>
        <v>1905194794</v>
      </c>
      <c r="W73" s="357">
        <f>T73/J73*100</f>
        <v>5.498727512980816</v>
      </c>
      <c r="X73" s="351"/>
      <c r="Y73" s="106"/>
      <c r="Z73" s="45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26" customFormat="1" ht="12" customHeight="1">
      <c r="A74" s="348"/>
      <c r="B74" s="35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54"/>
      <c r="O74" s="356"/>
      <c r="P74" s="348"/>
      <c r="Q74" s="348"/>
      <c r="R74" s="354"/>
      <c r="S74" s="354"/>
      <c r="T74" s="354"/>
      <c r="U74" s="358"/>
      <c r="V74" s="348"/>
      <c r="W74" s="358"/>
      <c r="X74" s="348"/>
      <c r="Y74" s="52"/>
      <c r="Z74" s="45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140" customFormat="1" ht="27.75" customHeight="1">
      <c r="A75" s="142"/>
      <c r="B75" s="143" t="s">
        <v>96</v>
      </c>
      <c r="C75" s="144" t="s">
        <v>125</v>
      </c>
      <c r="D75" s="132" t="s">
        <v>37</v>
      </c>
      <c r="E75" s="132" t="s">
        <v>140</v>
      </c>
      <c r="F75" s="132" t="s">
        <v>75</v>
      </c>
      <c r="G75" s="130" t="s">
        <v>28</v>
      </c>
      <c r="H75" s="132" t="s">
        <v>5</v>
      </c>
      <c r="I75" s="142"/>
      <c r="J75" s="145">
        <f>J76+J83</f>
        <v>2016052000</v>
      </c>
      <c r="K75" s="142"/>
      <c r="L75" s="142"/>
      <c r="M75" s="142"/>
      <c r="N75" s="146">
        <f>N76+N83</f>
        <v>335392000</v>
      </c>
      <c r="O75" s="197"/>
      <c r="P75" s="142"/>
      <c r="Q75" s="142"/>
      <c r="R75" s="146">
        <f>R76+R83</f>
        <v>92857206</v>
      </c>
      <c r="S75" s="146">
        <f>S76+S83</f>
        <v>18000000</v>
      </c>
      <c r="T75" s="146">
        <f>T76+T83</f>
        <v>110857206</v>
      </c>
      <c r="U75" s="190">
        <f aca="true" t="shared" si="14" ref="U75:U102">T75/N75*100</f>
        <v>33.053026309512454</v>
      </c>
      <c r="V75" s="174">
        <f>V76+V83</f>
        <v>1905194794</v>
      </c>
      <c r="W75" s="190">
        <f>T75/J75*100</f>
        <v>5.498727512980816</v>
      </c>
      <c r="X75" s="142"/>
      <c r="Y75" s="41"/>
      <c r="Z75" s="45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126" customFormat="1" ht="15" customHeight="1">
      <c r="A76" s="147"/>
      <c r="B76" s="129" t="s">
        <v>83</v>
      </c>
      <c r="C76" s="161"/>
      <c r="D76" s="120"/>
      <c r="E76" s="120"/>
      <c r="F76" s="120"/>
      <c r="G76" s="118"/>
      <c r="H76" s="120"/>
      <c r="I76" s="147"/>
      <c r="J76" s="162">
        <f>J77+J79+J81</f>
        <v>29124000</v>
      </c>
      <c r="K76" s="162"/>
      <c r="L76" s="162"/>
      <c r="M76" s="162"/>
      <c r="N76" s="162">
        <f aca="true" t="shared" si="15" ref="N76:T76">N77+N79+N81</f>
        <v>4854000</v>
      </c>
      <c r="O76" s="211"/>
      <c r="P76" s="162"/>
      <c r="Q76" s="162"/>
      <c r="R76" s="148">
        <f t="shared" si="15"/>
        <v>1350000</v>
      </c>
      <c r="S76" s="148">
        <f t="shared" si="15"/>
        <v>0</v>
      </c>
      <c r="T76" s="148">
        <f t="shared" si="15"/>
        <v>1350000</v>
      </c>
      <c r="U76" s="212">
        <f t="shared" si="14"/>
        <v>27.812113720642767</v>
      </c>
      <c r="V76" s="162">
        <f>V77+V79+V81</f>
        <v>27774000</v>
      </c>
      <c r="W76" s="212">
        <f>V76/J76*100</f>
        <v>95.3646477132262</v>
      </c>
      <c r="X76" s="162"/>
      <c r="Y76" s="41"/>
      <c r="Z76" s="45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26" s="43" customFormat="1" ht="15" customHeight="1">
      <c r="A77" s="29"/>
      <c r="B77" s="96" t="s">
        <v>149</v>
      </c>
      <c r="C77" s="163">
        <v>1001</v>
      </c>
      <c r="D77" s="107" t="s">
        <v>76</v>
      </c>
      <c r="E77" s="107" t="s">
        <v>140</v>
      </c>
      <c r="F77" s="107" t="s">
        <v>75</v>
      </c>
      <c r="G77" s="108" t="s">
        <v>28</v>
      </c>
      <c r="H77" s="107" t="s">
        <v>5</v>
      </c>
      <c r="I77" s="29"/>
      <c r="J77" s="243">
        <f>J78</f>
        <v>8100000</v>
      </c>
      <c r="K77" s="29"/>
      <c r="L77" s="29"/>
      <c r="M77" s="29"/>
      <c r="N77" s="90">
        <f>N78</f>
        <v>1350000</v>
      </c>
      <c r="O77" s="200">
        <f aca="true" t="shared" si="16" ref="O77:O82">N77/J77*100</f>
        <v>16.666666666666664</v>
      </c>
      <c r="P77" s="90" t="str">
        <f>P78</f>
        <v>jan</v>
      </c>
      <c r="Q77" s="90" t="s">
        <v>141</v>
      </c>
      <c r="R77" s="90">
        <f>R78</f>
        <v>1350000</v>
      </c>
      <c r="S77" s="90">
        <f>S78</f>
        <v>0</v>
      </c>
      <c r="T77" s="90">
        <f>T78</f>
        <v>1350000</v>
      </c>
      <c r="U77" s="164">
        <f t="shared" si="14"/>
        <v>100</v>
      </c>
      <c r="V77" s="90">
        <f>V78</f>
        <v>6750000</v>
      </c>
      <c r="W77" s="164">
        <f aca="true" t="shared" si="17" ref="W77:W82">V77/J77*100</f>
        <v>83.33333333333334</v>
      </c>
      <c r="X77" s="90"/>
      <c r="Y77" s="41"/>
      <c r="Z77" s="45"/>
    </row>
    <row r="78" spans="1:26" s="44" customFormat="1" ht="12.75" customHeight="1">
      <c r="A78" s="27"/>
      <c r="B78" s="6" t="s">
        <v>148</v>
      </c>
      <c r="C78" s="35" t="s">
        <v>147</v>
      </c>
      <c r="D78" s="84" t="s">
        <v>76</v>
      </c>
      <c r="E78" s="84" t="s">
        <v>140</v>
      </c>
      <c r="F78" s="84" t="s">
        <v>75</v>
      </c>
      <c r="G78" s="87" t="s">
        <v>28</v>
      </c>
      <c r="H78" s="84" t="s">
        <v>5</v>
      </c>
      <c r="I78" s="27"/>
      <c r="J78" s="248">
        <v>8100000</v>
      </c>
      <c r="K78" s="27"/>
      <c r="L78" s="27"/>
      <c r="M78" s="27" t="s">
        <v>78</v>
      </c>
      <c r="N78" s="149">
        <f>675000+675000</f>
        <v>1350000</v>
      </c>
      <c r="O78" s="200">
        <f t="shared" si="16"/>
        <v>16.666666666666664</v>
      </c>
      <c r="P78" s="91" t="s">
        <v>139</v>
      </c>
      <c r="Q78" s="91" t="s">
        <v>141</v>
      </c>
      <c r="R78" s="149">
        <v>1350000</v>
      </c>
      <c r="S78" s="149"/>
      <c r="T78" s="149">
        <f>R78+S78</f>
        <v>1350000</v>
      </c>
      <c r="U78" s="164">
        <f t="shared" si="14"/>
        <v>100</v>
      </c>
      <c r="V78" s="149">
        <f>J78-T78</f>
        <v>6750000</v>
      </c>
      <c r="W78" s="164">
        <f t="shared" si="17"/>
        <v>83.33333333333334</v>
      </c>
      <c r="X78" s="27"/>
      <c r="Y78" s="165"/>
      <c r="Z78" s="46"/>
    </row>
    <row r="79" spans="1:26" s="43" customFormat="1" ht="12.75" customHeight="1">
      <c r="A79" s="29"/>
      <c r="B79" s="242" t="s">
        <v>222</v>
      </c>
      <c r="C79" s="210" t="s">
        <v>225</v>
      </c>
      <c r="D79" s="107" t="s">
        <v>76</v>
      </c>
      <c r="E79" s="107" t="s">
        <v>140</v>
      </c>
      <c r="F79" s="107" t="s">
        <v>75</v>
      </c>
      <c r="G79" s="108" t="s">
        <v>28</v>
      </c>
      <c r="H79" s="107" t="s">
        <v>5</v>
      </c>
      <c r="I79" s="29"/>
      <c r="J79" s="243">
        <f>J80</f>
        <v>18000000</v>
      </c>
      <c r="K79" s="29"/>
      <c r="L79" s="29"/>
      <c r="M79" s="29"/>
      <c r="N79" s="90">
        <f>N80</f>
        <v>3000000</v>
      </c>
      <c r="O79" s="200">
        <f t="shared" si="16"/>
        <v>16.666666666666664</v>
      </c>
      <c r="P79" s="90" t="str">
        <f aca="true" t="shared" si="18" ref="P79:V79">P80</f>
        <v>jan</v>
      </c>
      <c r="Q79" s="90" t="s">
        <v>141</v>
      </c>
      <c r="R79" s="90">
        <f t="shared" si="18"/>
        <v>0</v>
      </c>
      <c r="S79" s="90">
        <f t="shared" si="18"/>
        <v>0</v>
      </c>
      <c r="T79" s="90">
        <f t="shared" si="18"/>
        <v>0</v>
      </c>
      <c r="U79" s="164">
        <f t="shared" si="14"/>
        <v>0</v>
      </c>
      <c r="V79" s="90">
        <f t="shared" si="18"/>
        <v>18000000</v>
      </c>
      <c r="W79" s="164">
        <f t="shared" si="17"/>
        <v>100</v>
      </c>
      <c r="X79" s="90"/>
      <c r="Y79" s="41"/>
      <c r="Z79" s="45"/>
    </row>
    <row r="80" spans="1:26" s="44" customFormat="1" ht="12.75" customHeight="1">
      <c r="A80" s="27"/>
      <c r="B80" s="247" t="s">
        <v>223</v>
      </c>
      <c r="C80" s="35" t="s">
        <v>226</v>
      </c>
      <c r="D80" s="84" t="s">
        <v>76</v>
      </c>
      <c r="E80" s="84" t="s">
        <v>140</v>
      </c>
      <c r="F80" s="84" t="s">
        <v>75</v>
      </c>
      <c r="G80" s="87" t="s">
        <v>28</v>
      </c>
      <c r="H80" s="84" t="s">
        <v>5</v>
      </c>
      <c r="I80" s="27"/>
      <c r="J80" s="248">
        <v>18000000</v>
      </c>
      <c r="K80" s="27"/>
      <c r="L80" s="27"/>
      <c r="M80" s="27" t="s">
        <v>78</v>
      </c>
      <c r="N80" s="149">
        <f>1500000+1500000</f>
        <v>3000000</v>
      </c>
      <c r="O80" s="200">
        <f t="shared" si="16"/>
        <v>16.666666666666664</v>
      </c>
      <c r="P80" s="91" t="s">
        <v>139</v>
      </c>
      <c r="Q80" s="91" t="s">
        <v>141</v>
      </c>
      <c r="R80" s="149"/>
      <c r="S80" s="149"/>
      <c r="T80" s="149"/>
      <c r="U80" s="164">
        <f t="shared" si="14"/>
        <v>0</v>
      </c>
      <c r="V80" s="149">
        <f>J80-T80</f>
        <v>18000000</v>
      </c>
      <c r="W80" s="164">
        <f t="shared" si="17"/>
        <v>100</v>
      </c>
      <c r="X80" s="27"/>
      <c r="Y80" s="165"/>
      <c r="Z80" s="46"/>
    </row>
    <row r="81" spans="1:26" s="43" customFormat="1" ht="12.75" customHeight="1">
      <c r="A81" s="29"/>
      <c r="B81" s="242" t="s">
        <v>160</v>
      </c>
      <c r="C81" s="210" t="s">
        <v>227</v>
      </c>
      <c r="D81" s="107" t="s">
        <v>76</v>
      </c>
      <c r="E81" s="107" t="s">
        <v>140</v>
      </c>
      <c r="F81" s="107" t="s">
        <v>75</v>
      </c>
      <c r="G81" s="108" t="s">
        <v>28</v>
      </c>
      <c r="H81" s="107" t="s">
        <v>5</v>
      </c>
      <c r="I81" s="29"/>
      <c r="J81" s="243">
        <f>J82</f>
        <v>3024000</v>
      </c>
      <c r="K81" s="29"/>
      <c r="L81" s="29"/>
      <c r="M81" s="29"/>
      <c r="N81" s="90">
        <f>N82</f>
        <v>504000</v>
      </c>
      <c r="O81" s="200">
        <f t="shared" si="16"/>
        <v>16.666666666666664</v>
      </c>
      <c r="P81" s="90" t="str">
        <f aca="true" t="shared" si="19" ref="P81:V81">P82</f>
        <v>jan</v>
      </c>
      <c r="Q81" s="90" t="s">
        <v>141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164">
        <f t="shared" si="14"/>
        <v>0</v>
      </c>
      <c r="V81" s="90">
        <f t="shared" si="19"/>
        <v>3024000</v>
      </c>
      <c r="W81" s="164">
        <f t="shared" si="17"/>
        <v>100</v>
      </c>
      <c r="X81" s="90"/>
      <c r="Y81" s="41"/>
      <c r="Z81" s="45"/>
    </row>
    <row r="82" spans="1:26" s="44" customFormat="1" ht="12.75" customHeight="1">
      <c r="A82" s="27"/>
      <c r="B82" s="247" t="s">
        <v>224</v>
      </c>
      <c r="C82" s="35" t="s">
        <v>207</v>
      </c>
      <c r="D82" s="84" t="s">
        <v>76</v>
      </c>
      <c r="E82" s="84" t="s">
        <v>140</v>
      </c>
      <c r="F82" s="84" t="s">
        <v>75</v>
      </c>
      <c r="G82" s="87" t="s">
        <v>28</v>
      </c>
      <c r="H82" s="84" t="s">
        <v>5</v>
      </c>
      <c r="I82" s="27"/>
      <c r="J82" s="248">
        <v>3024000</v>
      </c>
      <c r="K82" s="27"/>
      <c r="L82" s="27"/>
      <c r="M82" s="27" t="s">
        <v>78</v>
      </c>
      <c r="N82" s="149">
        <f>252000+252000</f>
        <v>504000</v>
      </c>
      <c r="O82" s="200">
        <f t="shared" si="16"/>
        <v>16.666666666666664</v>
      </c>
      <c r="P82" s="91" t="s">
        <v>139</v>
      </c>
      <c r="Q82" s="91" t="s">
        <v>141</v>
      </c>
      <c r="R82" s="149"/>
      <c r="S82" s="149"/>
      <c r="T82" s="149"/>
      <c r="U82" s="164">
        <f t="shared" si="14"/>
        <v>0</v>
      </c>
      <c r="V82" s="181">
        <f>J82-T82</f>
        <v>3024000</v>
      </c>
      <c r="W82" s="164">
        <f t="shared" si="17"/>
        <v>100</v>
      </c>
      <c r="X82" s="27"/>
      <c r="Y82" s="165"/>
      <c r="Z82" s="46"/>
    </row>
    <row r="83" spans="1:35" s="126" customFormat="1" ht="16.5" customHeight="1">
      <c r="A83" s="118"/>
      <c r="B83" s="127" t="s">
        <v>79</v>
      </c>
      <c r="C83" s="118"/>
      <c r="D83" s="120"/>
      <c r="E83" s="120"/>
      <c r="F83" s="120"/>
      <c r="G83" s="118"/>
      <c r="H83" s="120"/>
      <c r="I83" s="118" t="s">
        <v>28</v>
      </c>
      <c r="J83" s="121">
        <f>J84+J86+J89+J92+J94+J100</f>
        <v>1986928000</v>
      </c>
      <c r="K83" s="121"/>
      <c r="L83" s="121"/>
      <c r="M83" s="121"/>
      <c r="N83" s="121">
        <f aca="true" t="shared" si="20" ref="N83:V83">N84+N86+N89+N92+N94+N100</f>
        <v>330538000</v>
      </c>
      <c r="O83" s="299">
        <f>N83/J83*100</f>
        <v>16.63563048082266</v>
      </c>
      <c r="P83" s="121"/>
      <c r="Q83" s="121"/>
      <c r="R83" s="123">
        <f t="shared" si="20"/>
        <v>91507206</v>
      </c>
      <c r="S83" s="123">
        <f t="shared" si="20"/>
        <v>18000000</v>
      </c>
      <c r="T83" s="123">
        <f>T84+T86+T89+T92+T94+T100</f>
        <v>109507206</v>
      </c>
      <c r="U83" s="300">
        <f t="shared" si="14"/>
        <v>33.129989895261666</v>
      </c>
      <c r="V83" s="121">
        <f t="shared" si="20"/>
        <v>1877420794</v>
      </c>
      <c r="W83" s="300">
        <f>V83/J83*100</f>
        <v>94.48861730269039</v>
      </c>
      <c r="X83" s="121"/>
      <c r="Y83" s="41"/>
      <c r="Z83" s="45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26" customFormat="1" ht="13.5">
      <c r="A84" s="10"/>
      <c r="B84" s="83" t="s">
        <v>97</v>
      </c>
      <c r="C84" s="10" t="s">
        <v>126</v>
      </c>
      <c r="D84" s="102" t="s">
        <v>37</v>
      </c>
      <c r="E84" s="102" t="s">
        <v>140</v>
      </c>
      <c r="F84" s="84" t="s">
        <v>75</v>
      </c>
      <c r="G84" s="10" t="s">
        <v>28</v>
      </c>
      <c r="H84" s="102" t="s">
        <v>5</v>
      </c>
      <c r="I84" s="10"/>
      <c r="J84" s="98">
        <f>J85</f>
        <v>1373100000</v>
      </c>
      <c r="K84" s="98"/>
      <c r="L84" s="98"/>
      <c r="M84" s="98"/>
      <c r="N84" s="98">
        <f>N85</f>
        <v>228850000</v>
      </c>
      <c r="O84" s="196">
        <f>N84/J84*100</f>
        <v>16.666666666666664</v>
      </c>
      <c r="P84" s="91" t="s">
        <v>139</v>
      </c>
      <c r="Q84" s="91" t="s">
        <v>141</v>
      </c>
      <c r="R84" s="109">
        <f>R85</f>
        <v>63757206</v>
      </c>
      <c r="S84" s="109">
        <f>S85</f>
        <v>0</v>
      </c>
      <c r="T84" s="109">
        <f>T85</f>
        <v>63757206</v>
      </c>
      <c r="U84" s="191">
        <f t="shared" si="14"/>
        <v>27.859823465151845</v>
      </c>
      <c r="V84" s="176">
        <f>V85</f>
        <v>1309342794</v>
      </c>
      <c r="W84" s="191">
        <f>V84/J84*100</f>
        <v>95.35669608914135</v>
      </c>
      <c r="X84" s="105"/>
      <c r="Y84" s="106"/>
      <c r="Z84" s="45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25" customFormat="1" ht="13.5">
      <c r="A85" s="9"/>
      <c r="B85" s="34" t="s">
        <v>98</v>
      </c>
      <c r="C85" s="9" t="s">
        <v>127</v>
      </c>
      <c r="D85" s="5" t="s">
        <v>37</v>
      </c>
      <c r="E85" s="5" t="s">
        <v>140</v>
      </c>
      <c r="F85" s="84" t="s">
        <v>75</v>
      </c>
      <c r="G85" s="9" t="s">
        <v>28</v>
      </c>
      <c r="H85" s="5" t="s">
        <v>5</v>
      </c>
      <c r="I85" s="9" t="s">
        <v>28</v>
      </c>
      <c r="J85" s="11">
        <v>1373100000</v>
      </c>
      <c r="K85" s="82"/>
      <c r="L85" s="37"/>
      <c r="M85" s="7" t="s">
        <v>78</v>
      </c>
      <c r="N85" s="112">
        <f>114425000+114425000</f>
        <v>228850000</v>
      </c>
      <c r="O85" s="196">
        <f aca="true" t="shared" si="21" ref="O85:O102">N85/J85*100</f>
        <v>16.666666666666664</v>
      </c>
      <c r="P85" s="91" t="s">
        <v>139</v>
      </c>
      <c r="Q85" s="91" t="s">
        <v>141</v>
      </c>
      <c r="R85" s="12">
        <v>63757206</v>
      </c>
      <c r="S85" s="12"/>
      <c r="T85" s="12">
        <f>R85+S85</f>
        <v>63757206</v>
      </c>
      <c r="U85" s="191">
        <f t="shared" si="14"/>
        <v>27.859823465151845</v>
      </c>
      <c r="V85" s="181">
        <f>J85-T85</f>
        <v>1309342794</v>
      </c>
      <c r="W85" s="191">
        <f aca="true" t="shared" si="22" ref="W85:W102">V85/J85*100</f>
        <v>95.35669608914135</v>
      </c>
      <c r="X85" s="7"/>
      <c r="Y85" s="38"/>
      <c r="Z85" s="46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s="26" customFormat="1" ht="13.5">
      <c r="A86" s="10"/>
      <c r="B86" s="28" t="s">
        <v>94</v>
      </c>
      <c r="C86" s="10" t="s">
        <v>122</v>
      </c>
      <c r="D86" s="102" t="s">
        <v>37</v>
      </c>
      <c r="E86" s="102" t="s">
        <v>140</v>
      </c>
      <c r="F86" s="84" t="s">
        <v>75</v>
      </c>
      <c r="G86" s="10" t="s">
        <v>28</v>
      </c>
      <c r="H86" s="102" t="s">
        <v>5</v>
      </c>
      <c r="I86" s="10"/>
      <c r="J86" s="98">
        <f>J87+J88</f>
        <v>282178000</v>
      </c>
      <c r="K86" s="98"/>
      <c r="L86" s="98"/>
      <c r="M86" s="98"/>
      <c r="N86" s="98">
        <f>N87+N88</f>
        <v>47028000</v>
      </c>
      <c r="O86" s="196">
        <f t="shared" si="21"/>
        <v>16.666076022935876</v>
      </c>
      <c r="P86" s="91" t="s">
        <v>139</v>
      </c>
      <c r="Q86" s="91" t="s">
        <v>141</v>
      </c>
      <c r="R86" s="109">
        <f>R87</f>
        <v>18000000</v>
      </c>
      <c r="S86" s="109">
        <f>S87</f>
        <v>18000000</v>
      </c>
      <c r="T86" s="109">
        <f>T87</f>
        <v>36000000</v>
      </c>
      <c r="U86" s="191">
        <f t="shared" si="14"/>
        <v>76.55014034192395</v>
      </c>
      <c r="V86" s="176">
        <f>V88+V87</f>
        <v>246178000</v>
      </c>
      <c r="W86" s="191">
        <f>V86/J86*100</f>
        <v>87.24209541495085</v>
      </c>
      <c r="X86" s="105"/>
      <c r="Y86" s="106"/>
      <c r="Z86" s="45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25" customFormat="1" ht="13.5">
      <c r="A87" s="9"/>
      <c r="B87" s="34" t="s">
        <v>99</v>
      </c>
      <c r="C87" s="9" t="s">
        <v>123</v>
      </c>
      <c r="D87" s="5" t="s">
        <v>37</v>
      </c>
      <c r="E87" s="5" t="s">
        <v>140</v>
      </c>
      <c r="F87" s="84" t="s">
        <v>75</v>
      </c>
      <c r="G87" s="9" t="s">
        <v>28</v>
      </c>
      <c r="H87" s="5" t="s">
        <v>5</v>
      </c>
      <c r="I87" s="9"/>
      <c r="J87" s="11">
        <v>234000000</v>
      </c>
      <c r="K87" s="82"/>
      <c r="L87" s="37"/>
      <c r="M87" s="7" t="s">
        <v>78</v>
      </c>
      <c r="N87" s="112">
        <f>19500000+19500000</f>
        <v>39000000</v>
      </c>
      <c r="O87" s="196">
        <f t="shared" si="21"/>
        <v>16.666666666666664</v>
      </c>
      <c r="P87" s="91" t="s">
        <v>139</v>
      </c>
      <c r="Q87" s="91" t="s">
        <v>141</v>
      </c>
      <c r="R87" s="12">
        <v>18000000</v>
      </c>
      <c r="S87" s="12">
        <v>18000000</v>
      </c>
      <c r="T87" s="12">
        <f>R87+S87</f>
        <v>36000000</v>
      </c>
      <c r="U87" s="191">
        <f t="shared" si="14"/>
        <v>92.3076923076923</v>
      </c>
      <c r="V87" s="181">
        <f>J87-T87</f>
        <v>198000000</v>
      </c>
      <c r="W87" s="191">
        <f t="shared" si="22"/>
        <v>84.61538461538461</v>
      </c>
      <c r="X87" s="7"/>
      <c r="Y87" s="38"/>
      <c r="Z87" s="46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s="25" customFormat="1" ht="13.5">
      <c r="A88" s="9"/>
      <c r="B88" s="34" t="s">
        <v>95</v>
      </c>
      <c r="C88" s="9" t="s">
        <v>124</v>
      </c>
      <c r="D88" s="5" t="s">
        <v>37</v>
      </c>
      <c r="E88" s="5" t="s">
        <v>140</v>
      </c>
      <c r="F88" s="84" t="s">
        <v>75</v>
      </c>
      <c r="G88" s="9" t="s">
        <v>28</v>
      </c>
      <c r="H88" s="5" t="s">
        <v>5</v>
      </c>
      <c r="I88" s="9"/>
      <c r="J88" s="11">
        <v>48178000</v>
      </c>
      <c r="K88" s="82"/>
      <c r="L88" s="37"/>
      <c r="M88" s="7" t="s">
        <v>78</v>
      </c>
      <c r="N88" s="112">
        <f>4014000+4014000</f>
        <v>8028000</v>
      </c>
      <c r="O88" s="196">
        <f t="shared" si="21"/>
        <v>16.663207273029183</v>
      </c>
      <c r="P88" s="91" t="s">
        <v>139</v>
      </c>
      <c r="Q88" s="91" t="s">
        <v>141</v>
      </c>
      <c r="R88" s="12"/>
      <c r="S88" s="12"/>
      <c r="T88" s="12"/>
      <c r="U88" s="191">
        <f t="shared" si="14"/>
        <v>0</v>
      </c>
      <c r="V88" s="181">
        <f>J88-T88</f>
        <v>48178000</v>
      </c>
      <c r="W88" s="191">
        <f t="shared" si="22"/>
        <v>100</v>
      </c>
      <c r="X88" s="7"/>
      <c r="Y88" s="38"/>
      <c r="Z88" s="46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s="26" customFormat="1" ht="13.5">
      <c r="A89" s="10"/>
      <c r="B89" s="28" t="s">
        <v>228</v>
      </c>
      <c r="C89" s="159" t="s">
        <v>231</v>
      </c>
      <c r="D89" s="102" t="s">
        <v>37</v>
      </c>
      <c r="E89" s="102" t="s">
        <v>140</v>
      </c>
      <c r="F89" s="107" t="s">
        <v>75</v>
      </c>
      <c r="G89" s="10" t="s">
        <v>28</v>
      </c>
      <c r="H89" s="102" t="s">
        <v>5</v>
      </c>
      <c r="I89" s="10"/>
      <c r="J89" s="98">
        <f>SUM(J90:J91)</f>
        <v>24500000</v>
      </c>
      <c r="K89" s="98"/>
      <c r="L89" s="98"/>
      <c r="M89" s="98"/>
      <c r="N89" s="98">
        <f>SUM(N90:N93)</f>
        <v>4500000</v>
      </c>
      <c r="O89" s="196">
        <f t="shared" si="21"/>
        <v>18.367346938775512</v>
      </c>
      <c r="P89" s="91" t="s">
        <v>139</v>
      </c>
      <c r="Q89" s="91" t="s">
        <v>141</v>
      </c>
      <c r="R89" s="110">
        <f>SUM(R90:R93)</f>
        <v>0</v>
      </c>
      <c r="S89" s="110">
        <f>SUM(S90:S93)</f>
        <v>0</v>
      </c>
      <c r="T89" s="110">
        <f>SUM(T90:T93)</f>
        <v>0</v>
      </c>
      <c r="U89" s="191">
        <f t="shared" si="14"/>
        <v>0</v>
      </c>
      <c r="V89" s="98">
        <f>SUM(V90:V91)</f>
        <v>24500000</v>
      </c>
      <c r="W89" s="191">
        <f t="shared" si="22"/>
        <v>100</v>
      </c>
      <c r="X89" s="98">
        <f>SUM(X90:X93)</f>
        <v>0</v>
      </c>
      <c r="Y89" s="106"/>
      <c r="Z89" s="45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25" customFormat="1" ht="13.5">
      <c r="A90" s="9"/>
      <c r="B90" s="247" t="s">
        <v>229</v>
      </c>
      <c r="C90" s="158" t="s">
        <v>232</v>
      </c>
      <c r="D90" s="5" t="s">
        <v>37</v>
      </c>
      <c r="E90" s="5" t="s">
        <v>140</v>
      </c>
      <c r="F90" s="84" t="s">
        <v>75</v>
      </c>
      <c r="G90" s="9" t="s">
        <v>28</v>
      </c>
      <c r="H90" s="5" t="s">
        <v>5</v>
      </c>
      <c r="I90" s="9"/>
      <c r="J90" s="11">
        <v>12000000</v>
      </c>
      <c r="K90" s="82"/>
      <c r="L90" s="37"/>
      <c r="M90" s="7" t="s">
        <v>78</v>
      </c>
      <c r="N90" s="112">
        <f>1000000+1000000</f>
        <v>2000000</v>
      </c>
      <c r="O90" s="196">
        <f t="shared" si="21"/>
        <v>16.666666666666664</v>
      </c>
      <c r="P90" s="91" t="s">
        <v>139</v>
      </c>
      <c r="Q90" s="91" t="s">
        <v>141</v>
      </c>
      <c r="R90" s="12"/>
      <c r="S90" s="12"/>
      <c r="T90" s="12"/>
      <c r="U90" s="191">
        <f t="shared" si="14"/>
        <v>0</v>
      </c>
      <c r="V90" s="181">
        <f>J90-T90</f>
        <v>12000000</v>
      </c>
      <c r="W90" s="191">
        <f t="shared" si="22"/>
        <v>100</v>
      </c>
      <c r="X90" s="7"/>
      <c r="Y90" s="38"/>
      <c r="Z90" s="46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s="25" customFormat="1" ht="13.5">
      <c r="A91" s="9"/>
      <c r="B91" s="247" t="s">
        <v>230</v>
      </c>
      <c r="C91" s="158" t="s">
        <v>233</v>
      </c>
      <c r="D91" s="5" t="s">
        <v>37</v>
      </c>
      <c r="E91" s="5" t="s">
        <v>140</v>
      </c>
      <c r="F91" s="84" t="s">
        <v>75</v>
      </c>
      <c r="G91" s="9" t="s">
        <v>28</v>
      </c>
      <c r="H91" s="5" t="s">
        <v>5</v>
      </c>
      <c r="I91" s="9"/>
      <c r="J91" s="11">
        <v>12500000</v>
      </c>
      <c r="K91" s="82"/>
      <c r="L91" s="37"/>
      <c r="M91" s="7" t="s">
        <v>78</v>
      </c>
      <c r="N91" s="112">
        <f>1000000+1500000</f>
        <v>2500000</v>
      </c>
      <c r="O91" s="196">
        <f t="shared" si="21"/>
        <v>20</v>
      </c>
      <c r="P91" s="91" t="s">
        <v>139</v>
      </c>
      <c r="Q91" s="91" t="s">
        <v>141</v>
      </c>
      <c r="R91" s="12"/>
      <c r="S91" s="12"/>
      <c r="T91" s="12"/>
      <c r="U91" s="191">
        <f t="shared" si="14"/>
        <v>0</v>
      </c>
      <c r="V91" s="181">
        <f>J91-T91</f>
        <v>12500000</v>
      </c>
      <c r="W91" s="191">
        <f t="shared" si="22"/>
        <v>100</v>
      </c>
      <c r="X91" s="7"/>
      <c r="Y91" s="38"/>
      <c r="Z91" s="46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s="26" customFormat="1" ht="13.5">
      <c r="A92" s="10"/>
      <c r="B92" s="242" t="s">
        <v>234</v>
      </c>
      <c r="C92" s="159" t="s">
        <v>235</v>
      </c>
      <c r="D92" s="102" t="s">
        <v>37</v>
      </c>
      <c r="E92" s="102" t="s">
        <v>308</v>
      </c>
      <c r="F92" s="107" t="s">
        <v>75</v>
      </c>
      <c r="G92" s="10" t="s">
        <v>28</v>
      </c>
      <c r="H92" s="102" t="s">
        <v>5</v>
      </c>
      <c r="I92" s="10"/>
      <c r="J92" s="98">
        <f>J93</f>
        <v>2550000</v>
      </c>
      <c r="K92" s="98"/>
      <c r="L92" s="98"/>
      <c r="M92" s="98"/>
      <c r="N92" s="98">
        <f>N93</f>
        <v>0</v>
      </c>
      <c r="O92" s="196">
        <f t="shared" si="21"/>
        <v>0</v>
      </c>
      <c r="P92" s="91" t="s">
        <v>139</v>
      </c>
      <c r="Q92" s="91" t="s">
        <v>309</v>
      </c>
      <c r="R92" s="110">
        <f>R93</f>
        <v>0</v>
      </c>
      <c r="S92" s="110">
        <f>S93</f>
        <v>0</v>
      </c>
      <c r="T92" s="110">
        <f>T93</f>
        <v>0</v>
      </c>
      <c r="U92" s="191">
        <v>0</v>
      </c>
      <c r="V92" s="98">
        <f>V93</f>
        <v>2550000</v>
      </c>
      <c r="W92" s="191">
        <f t="shared" si="22"/>
        <v>100</v>
      </c>
      <c r="X92" s="98">
        <f>X93</f>
        <v>0</v>
      </c>
      <c r="Y92" s="106"/>
      <c r="Z92" s="45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25" customFormat="1" ht="13.5">
      <c r="A93" s="9"/>
      <c r="B93" s="247" t="s">
        <v>150</v>
      </c>
      <c r="C93" s="158" t="s">
        <v>236</v>
      </c>
      <c r="D93" s="5" t="s">
        <v>37</v>
      </c>
      <c r="E93" s="5" t="s">
        <v>308</v>
      </c>
      <c r="F93" s="84" t="s">
        <v>75</v>
      </c>
      <c r="G93" s="9" t="s">
        <v>28</v>
      </c>
      <c r="H93" s="5" t="s">
        <v>5</v>
      </c>
      <c r="I93" s="9"/>
      <c r="J93" s="11">
        <v>2550000</v>
      </c>
      <c r="K93" s="82"/>
      <c r="L93" s="37"/>
      <c r="M93" s="7" t="s">
        <v>78</v>
      </c>
      <c r="N93" s="112">
        <v>0</v>
      </c>
      <c r="O93" s="196">
        <f t="shared" si="21"/>
        <v>0</v>
      </c>
      <c r="P93" s="91" t="s">
        <v>309</v>
      </c>
      <c r="Q93" s="91" t="s">
        <v>309</v>
      </c>
      <c r="R93" s="12"/>
      <c r="S93" s="12"/>
      <c r="T93" s="12"/>
      <c r="U93" s="191">
        <v>0</v>
      </c>
      <c r="V93" s="181">
        <f>J93-T93</f>
        <v>2550000</v>
      </c>
      <c r="W93" s="191">
        <f t="shared" si="22"/>
        <v>100</v>
      </c>
      <c r="X93" s="7"/>
      <c r="Y93" s="38"/>
      <c r="Z93" s="46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s="26" customFormat="1" ht="13.5">
      <c r="A94" s="10"/>
      <c r="B94" s="28" t="s">
        <v>151</v>
      </c>
      <c r="C94" s="159">
        <v>2124</v>
      </c>
      <c r="D94" s="102" t="s">
        <v>76</v>
      </c>
      <c r="E94" s="102" t="s">
        <v>140</v>
      </c>
      <c r="F94" s="84" t="s">
        <v>75</v>
      </c>
      <c r="G94" s="10" t="s">
        <v>28</v>
      </c>
      <c r="H94" s="102" t="s">
        <v>5</v>
      </c>
      <c r="I94" s="10"/>
      <c r="J94" s="98">
        <f>SUM(J95:J99)</f>
        <v>177700000</v>
      </c>
      <c r="K94" s="98"/>
      <c r="L94" s="98"/>
      <c r="M94" s="98"/>
      <c r="N94" s="98">
        <f>SUM(N95:N99)</f>
        <v>29010000</v>
      </c>
      <c r="O94" s="196">
        <f t="shared" si="21"/>
        <v>16.325267304445696</v>
      </c>
      <c r="P94" s="91" t="s">
        <v>139</v>
      </c>
      <c r="Q94" s="91" t="s">
        <v>141</v>
      </c>
      <c r="R94" s="111">
        <f>SUM(R95:R99)</f>
        <v>9750000</v>
      </c>
      <c r="S94" s="111">
        <f>SUM(S95:S99)</f>
        <v>0</v>
      </c>
      <c r="T94" s="111">
        <f>SUM(T95:T99)</f>
        <v>9750000</v>
      </c>
      <c r="U94" s="191">
        <f t="shared" si="14"/>
        <v>33.60910031023785</v>
      </c>
      <c r="V94" s="176">
        <f>SUM(V95:V99)</f>
        <v>167950000</v>
      </c>
      <c r="W94" s="191">
        <f t="shared" si="22"/>
        <v>94.51322453573438</v>
      </c>
      <c r="X94" s="105"/>
      <c r="Y94" s="106"/>
      <c r="Z94" s="45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25" customFormat="1" ht="13.5">
      <c r="A95" s="9"/>
      <c r="B95" s="247" t="s">
        <v>237</v>
      </c>
      <c r="C95" s="158" t="s">
        <v>242</v>
      </c>
      <c r="D95" s="5" t="s">
        <v>76</v>
      </c>
      <c r="E95" s="5" t="s">
        <v>140</v>
      </c>
      <c r="F95" s="84" t="s">
        <v>75</v>
      </c>
      <c r="G95" s="9" t="s">
        <v>28</v>
      </c>
      <c r="H95" s="5" t="s">
        <v>5</v>
      </c>
      <c r="I95" s="9"/>
      <c r="J95" s="11">
        <v>30000000</v>
      </c>
      <c r="K95" s="82"/>
      <c r="L95" s="37"/>
      <c r="M95" s="7" t="s">
        <v>221</v>
      </c>
      <c r="N95" s="112">
        <f>2500000+2500000</f>
        <v>5000000</v>
      </c>
      <c r="O95" s="196">
        <f t="shared" si="21"/>
        <v>16.666666666666664</v>
      </c>
      <c r="P95" s="91" t="s">
        <v>139</v>
      </c>
      <c r="Q95" s="91" t="s">
        <v>141</v>
      </c>
      <c r="R95" s="12"/>
      <c r="S95" s="12"/>
      <c r="T95" s="12">
        <f>R95+S95</f>
        <v>0</v>
      </c>
      <c r="U95" s="191">
        <f t="shared" si="14"/>
        <v>0</v>
      </c>
      <c r="V95" s="181">
        <f>J95-T95</f>
        <v>30000000</v>
      </c>
      <c r="W95" s="191">
        <f t="shared" si="22"/>
        <v>100</v>
      </c>
      <c r="X95" s="7"/>
      <c r="Y95" s="38"/>
      <c r="Z95" s="46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s="25" customFormat="1" ht="13.5">
      <c r="A96" s="9"/>
      <c r="B96" s="247" t="s">
        <v>238</v>
      </c>
      <c r="C96" s="158" t="s">
        <v>243</v>
      </c>
      <c r="D96" s="5" t="s">
        <v>76</v>
      </c>
      <c r="E96" s="5" t="s">
        <v>140</v>
      </c>
      <c r="F96" s="84" t="s">
        <v>75</v>
      </c>
      <c r="G96" s="9" t="s">
        <v>28</v>
      </c>
      <c r="H96" s="5" t="s">
        <v>5</v>
      </c>
      <c r="I96" s="9"/>
      <c r="J96" s="11">
        <v>10500000</v>
      </c>
      <c r="K96" s="82"/>
      <c r="L96" s="37"/>
      <c r="M96" s="7" t="s">
        <v>78</v>
      </c>
      <c r="N96" s="112">
        <f>875000+875000</f>
        <v>1750000</v>
      </c>
      <c r="O96" s="196">
        <f t="shared" si="21"/>
        <v>16.666666666666664</v>
      </c>
      <c r="P96" s="91" t="s">
        <v>139</v>
      </c>
      <c r="Q96" s="91" t="s">
        <v>141</v>
      </c>
      <c r="R96" s="12"/>
      <c r="S96" s="12"/>
      <c r="T96" s="12">
        <f>R96+S96</f>
        <v>0</v>
      </c>
      <c r="U96" s="191">
        <f t="shared" si="14"/>
        <v>0</v>
      </c>
      <c r="V96" s="181">
        <f>J96-T96</f>
        <v>10500000</v>
      </c>
      <c r="W96" s="191">
        <f t="shared" si="22"/>
        <v>100</v>
      </c>
      <c r="X96" s="7"/>
      <c r="Y96" s="38"/>
      <c r="Z96" s="46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s="25" customFormat="1" ht="13.5">
      <c r="A97" s="9"/>
      <c r="B97" s="247" t="s">
        <v>239</v>
      </c>
      <c r="C97" s="158" t="s">
        <v>243</v>
      </c>
      <c r="D97" s="5" t="s">
        <v>76</v>
      </c>
      <c r="E97" s="5" t="s">
        <v>140</v>
      </c>
      <c r="F97" s="84" t="s">
        <v>75</v>
      </c>
      <c r="G97" s="9" t="s">
        <v>28</v>
      </c>
      <c r="H97" s="5" t="s">
        <v>5</v>
      </c>
      <c r="I97" s="9"/>
      <c r="J97" s="11">
        <v>115600000</v>
      </c>
      <c r="K97" s="82"/>
      <c r="L97" s="37"/>
      <c r="M97" s="7" t="s">
        <v>221</v>
      </c>
      <c r="N97" s="112">
        <f>9630000+9630000</f>
        <v>19260000</v>
      </c>
      <c r="O97" s="196">
        <f t="shared" si="21"/>
        <v>16.66089965397924</v>
      </c>
      <c r="P97" s="91" t="s">
        <v>139</v>
      </c>
      <c r="Q97" s="91" t="s">
        <v>141</v>
      </c>
      <c r="R97" s="12">
        <v>9000000</v>
      </c>
      <c r="S97" s="12"/>
      <c r="T97" s="12">
        <f>R97+S97</f>
        <v>9000000</v>
      </c>
      <c r="U97" s="191">
        <f t="shared" si="14"/>
        <v>46.728971962616825</v>
      </c>
      <c r="V97" s="181">
        <f>J97-T97</f>
        <v>106600000</v>
      </c>
      <c r="W97" s="191">
        <f t="shared" si="22"/>
        <v>92.21453287197232</v>
      </c>
      <c r="X97" s="7"/>
      <c r="Y97" s="38"/>
      <c r="Z97" s="46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s="25" customFormat="1" ht="13.5">
      <c r="A98" s="9"/>
      <c r="B98" s="247" t="s">
        <v>240</v>
      </c>
      <c r="C98" s="158" t="s">
        <v>244</v>
      </c>
      <c r="D98" s="5" t="s">
        <v>76</v>
      </c>
      <c r="E98" s="5" t="s">
        <v>307</v>
      </c>
      <c r="F98" s="84" t="s">
        <v>75</v>
      </c>
      <c r="G98" s="9" t="s">
        <v>28</v>
      </c>
      <c r="H98" s="5" t="s">
        <v>5</v>
      </c>
      <c r="I98" s="9"/>
      <c r="J98" s="11">
        <v>3600000</v>
      </c>
      <c r="K98" s="82"/>
      <c r="L98" s="37"/>
      <c r="M98" s="7" t="s">
        <v>78</v>
      </c>
      <c r="N98" s="112">
        <v>0</v>
      </c>
      <c r="O98" s="196">
        <f t="shared" si="21"/>
        <v>0</v>
      </c>
      <c r="P98" s="91" t="s">
        <v>309</v>
      </c>
      <c r="Q98" s="91" t="s">
        <v>309</v>
      </c>
      <c r="R98" s="12"/>
      <c r="S98" s="12"/>
      <c r="T98" s="12">
        <f>R98+S98</f>
        <v>0</v>
      </c>
      <c r="U98" s="191">
        <v>0</v>
      </c>
      <c r="V98" s="181">
        <f>J98-T98</f>
        <v>3600000</v>
      </c>
      <c r="W98" s="191">
        <f t="shared" si="22"/>
        <v>100</v>
      </c>
      <c r="X98" s="7"/>
      <c r="Y98" s="38"/>
      <c r="Z98" s="46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s="25" customFormat="1" ht="13.5">
      <c r="A99" s="9"/>
      <c r="B99" s="247" t="s">
        <v>241</v>
      </c>
      <c r="C99" s="158" t="s">
        <v>245</v>
      </c>
      <c r="D99" s="5" t="s">
        <v>76</v>
      </c>
      <c r="E99" s="5" t="s">
        <v>140</v>
      </c>
      <c r="F99" s="84" t="s">
        <v>75</v>
      </c>
      <c r="G99" s="9" t="s">
        <v>28</v>
      </c>
      <c r="H99" s="5" t="s">
        <v>5</v>
      </c>
      <c r="I99" s="9"/>
      <c r="J99" s="11">
        <v>18000000</v>
      </c>
      <c r="K99" s="82"/>
      <c r="L99" s="37"/>
      <c r="M99" s="7" t="s">
        <v>78</v>
      </c>
      <c r="N99" s="112">
        <f>1500000+1500000</f>
        <v>3000000</v>
      </c>
      <c r="O99" s="196">
        <f t="shared" si="21"/>
        <v>16.666666666666664</v>
      </c>
      <c r="P99" s="91" t="s">
        <v>139</v>
      </c>
      <c r="Q99" s="91" t="s">
        <v>141</v>
      </c>
      <c r="R99" s="12">
        <v>750000</v>
      </c>
      <c r="S99" s="12"/>
      <c r="T99" s="12">
        <f>R99+S99</f>
        <v>750000</v>
      </c>
      <c r="U99" s="191">
        <f t="shared" si="14"/>
        <v>25</v>
      </c>
      <c r="V99" s="181">
        <f>J99-T99</f>
        <v>17250000</v>
      </c>
      <c r="W99" s="191">
        <f t="shared" si="22"/>
        <v>95.83333333333334</v>
      </c>
      <c r="X99" s="7"/>
      <c r="Y99" s="38"/>
      <c r="Z99" s="46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s="26" customFormat="1" ht="13.5">
      <c r="A100" s="10"/>
      <c r="B100" s="28" t="s">
        <v>100</v>
      </c>
      <c r="C100" s="10" t="s">
        <v>128</v>
      </c>
      <c r="D100" s="102" t="s">
        <v>37</v>
      </c>
      <c r="E100" s="102" t="s">
        <v>140</v>
      </c>
      <c r="F100" s="84" t="s">
        <v>75</v>
      </c>
      <c r="G100" s="10" t="s">
        <v>28</v>
      </c>
      <c r="H100" s="102" t="s">
        <v>5</v>
      </c>
      <c r="I100" s="10"/>
      <c r="J100" s="98">
        <f>J101+J102</f>
        <v>126900000</v>
      </c>
      <c r="K100" s="98"/>
      <c r="L100" s="98"/>
      <c r="M100" s="98"/>
      <c r="N100" s="98">
        <f>N101+N102</f>
        <v>21150000</v>
      </c>
      <c r="O100" s="196">
        <f t="shared" si="21"/>
        <v>16.666666666666664</v>
      </c>
      <c r="P100" s="91" t="s">
        <v>139</v>
      </c>
      <c r="Q100" s="91" t="s">
        <v>141</v>
      </c>
      <c r="R100" s="109">
        <f>R101+R102</f>
        <v>0</v>
      </c>
      <c r="S100" s="109">
        <f>S101+S102</f>
        <v>0</v>
      </c>
      <c r="T100" s="109">
        <f>T101+T102</f>
        <v>0</v>
      </c>
      <c r="U100" s="191">
        <f t="shared" si="14"/>
        <v>0</v>
      </c>
      <c r="V100" s="176">
        <f>V101+V102</f>
        <v>126900000</v>
      </c>
      <c r="W100" s="191">
        <f t="shared" si="22"/>
        <v>100</v>
      </c>
      <c r="X100" s="105"/>
      <c r="Y100" s="106"/>
      <c r="Z100" s="45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25" customFormat="1" ht="13.5">
      <c r="A101" s="9"/>
      <c r="B101" s="34" t="s">
        <v>101</v>
      </c>
      <c r="C101" s="9" t="s">
        <v>129</v>
      </c>
      <c r="D101" s="5" t="s">
        <v>37</v>
      </c>
      <c r="E101" s="5" t="s">
        <v>140</v>
      </c>
      <c r="F101" s="84" t="s">
        <v>75</v>
      </c>
      <c r="G101" s="9" t="s">
        <v>28</v>
      </c>
      <c r="H101" s="5" t="s">
        <v>5</v>
      </c>
      <c r="I101" s="9"/>
      <c r="J101" s="11">
        <v>84000000</v>
      </c>
      <c r="K101" s="82"/>
      <c r="L101" s="37"/>
      <c r="M101" s="7" t="s">
        <v>221</v>
      </c>
      <c r="N101" s="112">
        <f>7000000+7000000</f>
        <v>14000000</v>
      </c>
      <c r="O101" s="196">
        <f t="shared" si="21"/>
        <v>16.666666666666664</v>
      </c>
      <c r="P101" s="91" t="s">
        <v>139</v>
      </c>
      <c r="Q101" s="91" t="s">
        <v>141</v>
      </c>
      <c r="R101" s="12"/>
      <c r="S101" s="12"/>
      <c r="T101" s="12">
        <f>R101+S101</f>
        <v>0</v>
      </c>
      <c r="U101" s="191">
        <f t="shared" si="14"/>
        <v>0</v>
      </c>
      <c r="V101" s="181">
        <f>J101-T101</f>
        <v>84000000</v>
      </c>
      <c r="W101" s="191">
        <f t="shared" si="22"/>
        <v>100</v>
      </c>
      <c r="X101" s="7"/>
      <c r="Y101" s="38"/>
      <c r="Z101" s="46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s="25" customFormat="1" ht="13.5">
      <c r="A102" s="9"/>
      <c r="B102" s="34" t="s">
        <v>152</v>
      </c>
      <c r="C102" s="158">
        <v>125005</v>
      </c>
      <c r="D102" s="5" t="s">
        <v>37</v>
      </c>
      <c r="E102" s="5" t="s">
        <v>140</v>
      </c>
      <c r="F102" s="84" t="s">
        <v>75</v>
      </c>
      <c r="G102" s="9" t="s">
        <v>28</v>
      </c>
      <c r="H102" s="5" t="s">
        <v>5</v>
      </c>
      <c r="I102" s="9"/>
      <c r="J102" s="11">
        <v>42900000</v>
      </c>
      <c r="K102" s="82"/>
      <c r="L102" s="37"/>
      <c r="M102" s="7" t="s">
        <v>221</v>
      </c>
      <c r="N102" s="112">
        <f>3575000+3575000</f>
        <v>7150000</v>
      </c>
      <c r="O102" s="196">
        <f t="shared" si="21"/>
        <v>16.666666666666664</v>
      </c>
      <c r="P102" s="91" t="s">
        <v>139</v>
      </c>
      <c r="Q102" s="91" t="s">
        <v>141</v>
      </c>
      <c r="R102" s="12"/>
      <c r="S102" s="12"/>
      <c r="T102" s="12">
        <f>R102+S102</f>
        <v>0</v>
      </c>
      <c r="U102" s="191">
        <f t="shared" si="14"/>
        <v>0</v>
      </c>
      <c r="V102" s="181">
        <f>J102-T102</f>
        <v>42900000</v>
      </c>
      <c r="W102" s="191">
        <f t="shared" si="22"/>
        <v>100</v>
      </c>
      <c r="X102" s="7"/>
      <c r="Y102" s="38"/>
      <c r="Z102" s="46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s="26" customFormat="1" ht="12.75" customHeight="1">
      <c r="A103" s="348" t="s">
        <v>20</v>
      </c>
      <c r="B103" s="349" t="s">
        <v>102</v>
      </c>
      <c r="C103" s="350"/>
      <c r="D103" s="350"/>
      <c r="E103" s="350"/>
      <c r="F103" s="350"/>
      <c r="G103" s="350"/>
      <c r="H103" s="350"/>
      <c r="I103" s="350"/>
      <c r="J103" s="351">
        <f>J105+J114+J118+J123+J143</f>
        <v>4198054400</v>
      </c>
      <c r="K103" s="351"/>
      <c r="L103" s="351"/>
      <c r="M103" s="351"/>
      <c r="N103" s="351">
        <f aca="true" t="shared" si="23" ref="N103:U103">N105+N114+N118+N123+N143</f>
        <v>1834530400</v>
      </c>
      <c r="O103" s="351">
        <f>N103/J103*100</f>
        <v>43.69953852908623</v>
      </c>
      <c r="P103" s="351"/>
      <c r="Q103" s="351"/>
      <c r="R103" s="351">
        <f t="shared" si="23"/>
        <v>155162000</v>
      </c>
      <c r="S103" s="351">
        <f t="shared" si="23"/>
        <v>9000000</v>
      </c>
      <c r="T103" s="351">
        <f>T105+T114+T118+T123+T143</f>
        <v>164162000</v>
      </c>
      <c r="U103" s="351">
        <f t="shared" si="23"/>
        <v>123.17148243913041</v>
      </c>
      <c r="V103" s="351">
        <f>V105+V114+V118+V123+V143</f>
        <v>4033892400</v>
      </c>
      <c r="W103" s="351">
        <f>V103/J103*100</f>
        <v>96.08956949200088</v>
      </c>
      <c r="X103" s="351"/>
      <c r="Y103" s="106"/>
      <c r="Z103" s="45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26" customFormat="1" ht="12" customHeight="1">
      <c r="A104" s="348"/>
      <c r="B104" s="349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52"/>
      <c r="Z104" s="45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140" customFormat="1" ht="29.25" customHeight="1">
      <c r="A105" s="130">
        <v>1</v>
      </c>
      <c r="B105" s="143" t="s">
        <v>103</v>
      </c>
      <c r="C105" s="130" t="s">
        <v>130</v>
      </c>
      <c r="D105" s="132" t="s">
        <v>37</v>
      </c>
      <c r="E105" s="132" t="s">
        <v>140</v>
      </c>
      <c r="F105" s="213" t="s">
        <v>75</v>
      </c>
      <c r="G105" s="130" t="s">
        <v>28</v>
      </c>
      <c r="H105" s="132" t="s">
        <v>5</v>
      </c>
      <c r="I105" s="130" t="s">
        <v>28</v>
      </c>
      <c r="J105" s="133">
        <f>J109+J106</f>
        <v>174000000</v>
      </c>
      <c r="K105" s="134"/>
      <c r="L105" s="135"/>
      <c r="M105" s="270"/>
      <c r="N105" s="137">
        <f>N106+N109</f>
        <v>36675000</v>
      </c>
      <c r="O105" s="194">
        <f>N105/J105*100</f>
        <v>21.07758620689655</v>
      </c>
      <c r="P105" s="168"/>
      <c r="Q105" s="168"/>
      <c r="R105" s="138">
        <f>R106+R109</f>
        <v>39700000</v>
      </c>
      <c r="S105" s="138">
        <f>S106+S109</f>
        <v>0</v>
      </c>
      <c r="T105" s="138">
        <f>T106+T109</f>
        <v>39700000</v>
      </c>
      <c r="U105" s="214">
        <f>T105/N105*100</f>
        <v>108.24812542603954</v>
      </c>
      <c r="V105" s="139">
        <f>V106+V109</f>
        <v>134300000</v>
      </c>
      <c r="W105" s="301">
        <f>V105/J105*100</f>
        <v>77.183908045977</v>
      </c>
      <c r="X105" s="139"/>
      <c r="Y105" s="41"/>
      <c r="Z105" s="45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126" customFormat="1" ht="15" customHeight="1">
      <c r="A106" s="147"/>
      <c r="B106" s="129" t="s">
        <v>83</v>
      </c>
      <c r="C106" s="161"/>
      <c r="D106" s="120"/>
      <c r="E106" s="120"/>
      <c r="F106" s="120"/>
      <c r="G106" s="118"/>
      <c r="H106" s="120"/>
      <c r="I106" s="147"/>
      <c r="J106" s="162">
        <f>J107</f>
        <v>4050000</v>
      </c>
      <c r="K106" s="147"/>
      <c r="L106" s="147"/>
      <c r="M106" s="147"/>
      <c r="N106" s="148">
        <f>N107</f>
        <v>675000</v>
      </c>
      <c r="O106" s="198">
        <f aca="true" t="shared" si="24" ref="O106:O121">N106/J106*100</f>
        <v>16.666666666666664</v>
      </c>
      <c r="P106" s="147"/>
      <c r="Q106" s="147"/>
      <c r="R106" s="183">
        <f aca="true" t="shared" si="25" ref="R106:T107">R107</f>
        <v>0</v>
      </c>
      <c r="S106" s="148">
        <f t="shared" si="25"/>
        <v>0</v>
      </c>
      <c r="T106" s="148">
        <f>T107</f>
        <v>0</v>
      </c>
      <c r="U106" s="215">
        <f aca="true" t="shared" si="26" ref="U106:U121">T106/N106*100</f>
        <v>0</v>
      </c>
      <c r="V106" s="125">
        <f>V107</f>
        <v>4050000</v>
      </c>
      <c r="W106" s="189">
        <f aca="true" t="shared" si="27" ref="W106:W112">V106/J106*100</f>
        <v>100</v>
      </c>
      <c r="X106" s="147"/>
      <c r="Y106" s="41"/>
      <c r="Z106" s="45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26" s="43" customFormat="1" ht="15" customHeight="1">
      <c r="A107" s="29"/>
      <c r="B107" s="96" t="s">
        <v>149</v>
      </c>
      <c r="C107" s="163">
        <v>1001</v>
      </c>
      <c r="D107" s="107" t="s">
        <v>76</v>
      </c>
      <c r="E107" s="107" t="s">
        <v>140</v>
      </c>
      <c r="F107" s="84" t="s">
        <v>75</v>
      </c>
      <c r="G107" s="108" t="s">
        <v>28</v>
      </c>
      <c r="H107" s="107" t="s">
        <v>5</v>
      </c>
      <c r="I107" s="29"/>
      <c r="J107" s="160">
        <f>J108</f>
        <v>4050000</v>
      </c>
      <c r="K107" s="29"/>
      <c r="L107" s="29"/>
      <c r="M107" s="29"/>
      <c r="N107" s="90">
        <f>N108</f>
        <v>675000</v>
      </c>
      <c r="O107" s="199">
        <f>N107/J107*100</f>
        <v>16.666666666666664</v>
      </c>
      <c r="P107" s="91" t="s">
        <v>139</v>
      </c>
      <c r="Q107" s="91" t="s">
        <v>141</v>
      </c>
      <c r="R107" s="184">
        <f t="shared" si="25"/>
        <v>0</v>
      </c>
      <c r="S107" s="90">
        <f t="shared" si="25"/>
        <v>0</v>
      </c>
      <c r="T107" s="90">
        <f t="shared" si="25"/>
        <v>0</v>
      </c>
      <c r="U107" s="205">
        <f t="shared" si="26"/>
        <v>0</v>
      </c>
      <c r="V107" s="86">
        <f>V108</f>
        <v>4050000</v>
      </c>
      <c r="W107" s="189">
        <f t="shared" si="27"/>
        <v>100</v>
      </c>
      <c r="X107" s="29"/>
      <c r="Y107" s="41"/>
      <c r="Z107" s="45"/>
    </row>
    <row r="108" spans="1:26" s="44" customFormat="1" ht="12.75" customHeight="1">
      <c r="A108" s="27"/>
      <c r="B108" s="6" t="s">
        <v>148</v>
      </c>
      <c r="C108" s="35" t="s">
        <v>147</v>
      </c>
      <c r="D108" s="84" t="s">
        <v>76</v>
      </c>
      <c r="E108" s="84" t="s">
        <v>140</v>
      </c>
      <c r="F108" s="84" t="s">
        <v>75</v>
      </c>
      <c r="G108" s="87" t="s">
        <v>28</v>
      </c>
      <c r="H108" s="84" t="s">
        <v>5</v>
      </c>
      <c r="I108" s="27"/>
      <c r="J108" s="164">
        <v>4050000</v>
      </c>
      <c r="K108" s="27"/>
      <c r="L108" s="27"/>
      <c r="M108" s="27" t="s">
        <v>78</v>
      </c>
      <c r="N108" s="149">
        <f>337500+337500</f>
        <v>675000</v>
      </c>
      <c r="O108" s="200">
        <f t="shared" si="24"/>
        <v>16.666666666666664</v>
      </c>
      <c r="P108" s="91" t="s">
        <v>139</v>
      </c>
      <c r="Q108" s="91" t="s">
        <v>141</v>
      </c>
      <c r="R108" s="182"/>
      <c r="S108" s="149"/>
      <c r="T108" s="149">
        <f>R108+S108</f>
        <v>0</v>
      </c>
      <c r="U108" s="205"/>
      <c r="V108" s="8">
        <f>J108-T108</f>
        <v>4050000</v>
      </c>
      <c r="W108" s="189">
        <f t="shared" si="27"/>
        <v>100</v>
      </c>
      <c r="X108" s="27"/>
      <c r="Y108" s="165"/>
      <c r="Z108" s="46"/>
    </row>
    <row r="109" spans="1:35" s="126" customFormat="1" ht="13.5" customHeight="1">
      <c r="A109" s="118"/>
      <c r="B109" s="119" t="s">
        <v>79</v>
      </c>
      <c r="C109" s="118"/>
      <c r="D109" s="118"/>
      <c r="E109" s="120"/>
      <c r="F109" s="120"/>
      <c r="G109" s="120"/>
      <c r="H109" s="120"/>
      <c r="I109" s="120"/>
      <c r="J109" s="121">
        <f>J110+J112</f>
        <v>169950000</v>
      </c>
      <c r="K109" s="120"/>
      <c r="L109" s="120"/>
      <c r="M109" s="120"/>
      <c r="N109" s="123">
        <f>N110+N112</f>
        <v>36000000</v>
      </c>
      <c r="O109" s="128">
        <f t="shared" si="24"/>
        <v>21.18270079435128</v>
      </c>
      <c r="P109" s="125"/>
      <c r="Q109" s="125"/>
      <c r="R109" s="124">
        <f>R110+R112</f>
        <v>39700000</v>
      </c>
      <c r="S109" s="124">
        <f>S110+S112</f>
        <v>0</v>
      </c>
      <c r="T109" s="124">
        <f>T110+T112</f>
        <v>39700000</v>
      </c>
      <c r="U109" s="215">
        <f t="shared" si="26"/>
        <v>110.27777777777779</v>
      </c>
      <c r="V109" s="125">
        <f>V110+V112</f>
        <v>130250000</v>
      </c>
      <c r="W109" s="189">
        <f t="shared" si="27"/>
        <v>76.64018829067373</v>
      </c>
      <c r="X109" s="125"/>
      <c r="Y109" s="106"/>
      <c r="Z109" s="45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s="26" customFormat="1" ht="13.5">
      <c r="A110" s="10"/>
      <c r="B110" s="95" t="s">
        <v>80</v>
      </c>
      <c r="C110" s="10" t="s">
        <v>114</v>
      </c>
      <c r="D110" s="102" t="s">
        <v>37</v>
      </c>
      <c r="E110" s="102" t="s">
        <v>140</v>
      </c>
      <c r="F110" s="84" t="s">
        <v>75</v>
      </c>
      <c r="G110" s="10" t="s">
        <v>28</v>
      </c>
      <c r="H110" s="102" t="s">
        <v>5</v>
      </c>
      <c r="I110" s="10" t="s">
        <v>28</v>
      </c>
      <c r="J110" s="98">
        <f>J111</f>
        <v>112500000</v>
      </c>
      <c r="K110" s="103"/>
      <c r="L110" s="104"/>
      <c r="M110" s="105"/>
      <c r="N110" s="110">
        <f>N111</f>
        <v>20000000</v>
      </c>
      <c r="O110" s="195">
        <f t="shared" si="24"/>
        <v>17.77777777777778</v>
      </c>
      <c r="P110" s="91" t="s">
        <v>139</v>
      </c>
      <c r="Q110" s="91" t="s">
        <v>141</v>
      </c>
      <c r="R110" s="89">
        <f>R111</f>
        <v>15000000</v>
      </c>
      <c r="S110" s="89">
        <f>S111</f>
        <v>0</v>
      </c>
      <c r="T110" s="89">
        <f>T111</f>
        <v>15000000</v>
      </c>
      <c r="U110" s="205">
        <f t="shared" si="26"/>
        <v>75</v>
      </c>
      <c r="V110" s="86">
        <f>V111</f>
        <v>97500000</v>
      </c>
      <c r="W110" s="189">
        <f t="shared" si="27"/>
        <v>86.66666666666667</v>
      </c>
      <c r="X110" s="105"/>
      <c r="Y110" s="106"/>
      <c r="Z110" s="45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s="25" customFormat="1" ht="13.5">
      <c r="A111" s="9"/>
      <c r="B111" s="74" t="s">
        <v>104</v>
      </c>
      <c r="C111" s="9" t="s">
        <v>131</v>
      </c>
      <c r="D111" s="5" t="s">
        <v>37</v>
      </c>
      <c r="E111" s="5" t="s">
        <v>140</v>
      </c>
      <c r="F111" s="84" t="s">
        <v>75</v>
      </c>
      <c r="G111" s="9" t="s">
        <v>28</v>
      </c>
      <c r="H111" s="5" t="s">
        <v>5</v>
      </c>
      <c r="I111" s="9"/>
      <c r="J111" s="11">
        <v>112500000</v>
      </c>
      <c r="K111" s="36"/>
      <c r="L111" s="37"/>
      <c r="M111" s="7" t="s">
        <v>78</v>
      </c>
      <c r="N111" s="112">
        <f>10000000+10000000</f>
        <v>20000000</v>
      </c>
      <c r="O111" s="196">
        <f t="shared" si="24"/>
        <v>17.77777777777778</v>
      </c>
      <c r="P111" s="91" t="s">
        <v>139</v>
      </c>
      <c r="Q111" s="91" t="s">
        <v>141</v>
      </c>
      <c r="R111" s="88">
        <v>15000000</v>
      </c>
      <c r="S111" s="88"/>
      <c r="T111" s="88">
        <f>R111+S111</f>
        <v>15000000</v>
      </c>
      <c r="U111" s="205"/>
      <c r="V111" s="8">
        <f>J111-T111</f>
        <v>97500000</v>
      </c>
      <c r="W111" s="189">
        <f t="shared" si="27"/>
        <v>86.66666666666667</v>
      </c>
      <c r="X111" s="7"/>
      <c r="Y111" s="38"/>
      <c r="Z111" s="46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s="26" customFormat="1" ht="13.5">
      <c r="A112" s="10"/>
      <c r="B112" s="95" t="s">
        <v>105</v>
      </c>
      <c r="C112" s="10" t="s">
        <v>132</v>
      </c>
      <c r="D112" s="102" t="s">
        <v>37</v>
      </c>
      <c r="E112" s="102" t="s">
        <v>310</v>
      </c>
      <c r="F112" s="84" t="s">
        <v>75</v>
      </c>
      <c r="G112" s="10" t="s">
        <v>28</v>
      </c>
      <c r="H112" s="102" t="s">
        <v>5</v>
      </c>
      <c r="I112" s="10"/>
      <c r="J112" s="98">
        <f>J113</f>
        <v>57450000</v>
      </c>
      <c r="K112" s="103"/>
      <c r="L112" s="104"/>
      <c r="M112" s="105"/>
      <c r="N112" s="110">
        <f>N113</f>
        <v>16000000</v>
      </c>
      <c r="O112" s="195">
        <f t="shared" si="24"/>
        <v>27.8503046127067</v>
      </c>
      <c r="P112" s="91" t="s">
        <v>139</v>
      </c>
      <c r="Q112" s="91" t="s">
        <v>141</v>
      </c>
      <c r="R112" s="89">
        <f>R113</f>
        <v>24700000</v>
      </c>
      <c r="S112" s="89">
        <f>S113</f>
        <v>0</v>
      </c>
      <c r="T112" s="89">
        <f>T113</f>
        <v>24700000</v>
      </c>
      <c r="U112" s="205">
        <f t="shared" si="26"/>
        <v>154.375</v>
      </c>
      <c r="V112" s="86">
        <f>V113</f>
        <v>32750000</v>
      </c>
      <c r="W112" s="189">
        <f t="shared" si="27"/>
        <v>57.00609225413403</v>
      </c>
      <c r="X112" s="105"/>
      <c r="Y112" s="106"/>
      <c r="Z112" s="45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s="25" customFormat="1" ht="13.5">
      <c r="A113" s="9"/>
      <c r="B113" s="74" t="s">
        <v>246</v>
      </c>
      <c r="C113" s="9" t="s">
        <v>138</v>
      </c>
      <c r="D113" s="5" t="s">
        <v>37</v>
      </c>
      <c r="E113" s="5" t="s">
        <v>310</v>
      </c>
      <c r="F113" s="84" t="s">
        <v>75</v>
      </c>
      <c r="G113" s="9" t="s">
        <v>28</v>
      </c>
      <c r="H113" s="5" t="s">
        <v>5</v>
      </c>
      <c r="I113" s="9"/>
      <c r="J113" s="11">
        <v>57450000</v>
      </c>
      <c r="K113" s="36"/>
      <c r="L113" s="37"/>
      <c r="M113" s="7" t="s">
        <v>78</v>
      </c>
      <c r="N113" s="112">
        <f>8000000+8000000</f>
        <v>16000000</v>
      </c>
      <c r="O113" s="196">
        <f t="shared" si="24"/>
        <v>27.8503046127067</v>
      </c>
      <c r="P113" s="91" t="s">
        <v>139</v>
      </c>
      <c r="Q113" s="91" t="s">
        <v>141</v>
      </c>
      <c r="R113" s="88">
        <v>24700000</v>
      </c>
      <c r="S113" s="88"/>
      <c r="T113" s="88">
        <f>R113+S113</f>
        <v>24700000</v>
      </c>
      <c r="U113" s="205"/>
      <c r="V113" s="8">
        <f>J113-T113</f>
        <v>32750000</v>
      </c>
      <c r="W113" s="189">
        <f>V113/J113*100</f>
        <v>57.00609225413403</v>
      </c>
      <c r="X113" s="7"/>
      <c r="Y113" s="38"/>
      <c r="Z113" s="46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s="140" customFormat="1" ht="27">
      <c r="A114" s="130">
        <v>2</v>
      </c>
      <c r="B114" s="143" t="s">
        <v>247</v>
      </c>
      <c r="C114" s="130" t="s">
        <v>77</v>
      </c>
      <c r="D114" s="132"/>
      <c r="E114" s="132"/>
      <c r="F114" s="132"/>
      <c r="G114" s="130"/>
      <c r="H114" s="132"/>
      <c r="I114" s="130"/>
      <c r="J114" s="133">
        <f>J115</f>
        <v>299750000</v>
      </c>
      <c r="K114" s="134"/>
      <c r="L114" s="135"/>
      <c r="M114" s="136"/>
      <c r="N114" s="137">
        <f>N115</f>
        <v>49958000</v>
      </c>
      <c r="O114" s="194">
        <f>N114/J114*100</f>
        <v>16.66655546288574</v>
      </c>
      <c r="P114" s="168"/>
      <c r="Q114" s="168"/>
      <c r="R114" s="138">
        <f>R115</f>
        <v>5500000</v>
      </c>
      <c r="S114" s="138">
        <f>S115</f>
        <v>0</v>
      </c>
      <c r="T114" s="138">
        <f>T115</f>
        <v>5500000</v>
      </c>
      <c r="U114" s="202">
        <f>T114/N114*100</f>
        <v>11.009247768125226</v>
      </c>
      <c r="V114" s="139">
        <f>V115</f>
        <v>294250000</v>
      </c>
      <c r="W114" s="187">
        <f>T114/J114*100</f>
        <v>1.834862385321101</v>
      </c>
      <c r="X114" s="139"/>
      <c r="Y114" s="106"/>
      <c r="Z114" s="45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s="126" customFormat="1" ht="13.5">
      <c r="A115" s="118"/>
      <c r="B115" s="129" t="s">
        <v>79</v>
      </c>
      <c r="C115" s="118"/>
      <c r="D115" s="120"/>
      <c r="E115" s="120"/>
      <c r="F115" s="120"/>
      <c r="G115" s="118"/>
      <c r="H115" s="120"/>
      <c r="I115" s="118"/>
      <c r="J115" s="121">
        <f>J116</f>
        <v>299750000</v>
      </c>
      <c r="K115" s="121"/>
      <c r="L115" s="121"/>
      <c r="M115" s="121"/>
      <c r="N115" s="121">
        <f aca="true" t="shared" si="28" ref="N115:W115">N116</f>
        <v>49958000</v>
      </c>
      <c r="O115" s="128">
        <f t="shared" si="24"/>
        <v>16.66655546288574</v>
      </c>
      <c r="P115" s="121"/>
      <c r="Q115" s="121"/>
      <c r="R115" s="123">
        <f t="shared" si="28"/>
        <v>5500000</v>
      </c>
      <c r="S115" s="123">
        <f t="shared" si="28"/>
        <v>0</v>
      </c>
      <c r="T115" s="123">
        <f t="shared" si="28"/>
        <v>5500000</v>
      </c>
      <c r="U115" s="121">
        <f>U116</f>
        <v>11.009247768125226</v>
      </c>
      <c r="V115" s="121">
        <f t="shared" si="28"/>
        <v>294250000</v>
      </c>
      <c r="W115" s="121">
        <f t="shared" si="28"/>
        <v>98.1651376146789</v>
      </c>
      <c r="X115" s="121"/>
      <c r="Y115" s="106"/>
      <c r="Z115" s="45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s="26" customFormat="1" ht="13.5">
      <c r="A116" s="10"/>
      <c r="B116" s="96" t="s">
        <v>93</v>
      </c>
      <c r="C116" s="10" t="s">
        <v>119</v>
      </c>
      <c r="D116" s="102" t="s">
        <v>37</v>
      </c>
      <c r="E116" s="102" t="s">
        <v>140</v>
      </c>
      <c r="F116" s="102" t="s">
        <v>75</v>
      </c>
      <c r="G116" s="10" t="s">
        <v>28</v>
      </c>
      <c r="H116" s="102" t="s">
        <v>5</v>
      </c>
      <c r="I116" s="10"/>
      <c r="J116" s="98">
        <f>J117</f>
        <v>299750000</v>
      </c>
      <c r="K116" s="103"/>
      <c r="L116" s="104"/>
      <c r="M116" s="105" t="s">
        <v>78</v>
      </c>
      <c r="N116" s="110">
        <f>N117</f>
        <v>49958000</v>
      </c>
      <c r="O116" s="195">
        <f t="shared" si="24"/>
        <v>16.66655546288574</v>
      </c>
      <c r="P116" s="170" t="s">
        <v>139</v>
      </c>
      <c r="Q116" s="170" t="s">
        <v>141</v>
      </c>
      <c r="R116" s="89">
        <f>R117</f>
        <v>5500000</v>
      </c>
      <c r="S116" s="89">
        <f>S117</f>
        <v>0</v>
      </c>
      <c r="T116" s="89">
        <f>T117</f>
        <v>5500000</v>
      </c>
      <c r="U116" s="204">
        <f>T116/N116*100</f>
        <v>11.009247768125226</v>
      </c>
      <c r="V116" s="86">
        <f>V117</f>
        <v>294250000</v>
      </c>
      <c r="W116" s="189">
        <f>V116/J116*100</f>
        <v>98.1651376146789</v>
      </c>
      <c r="X116" s="105"/>
      <c r="Y116" s="106"/>
      <c r="Z116" s="45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s="25" customFormat="1" ht="13.5">
      <c r="A117" s="9"/>
      <c r="B117" s="97" t="s">
        <v>202</v>
      </c>
      <c r="C117" s="9" t="s">
        <v>120</v>
      </c>
      <c r="D117" s="5" t="s">
        <v>37</v>
      </c>
      <c r="E117" s="5" t="s">
        <v>140</v>
      </c>
      <c r="F117" s="5" t="s">
        <v>75</v>
      </c>
      <c r="G117" s="9" t="s">
        <v>28</v>
      </c>
      <c r="H117" s="5" t="s">
        <v>5</v>
      </c>
      <c r="I117" s="9"/>
      <c r="J117" s="11">
        <v>299750000</v>
      </c>
      <c r="K117" s="36"/>
      <c r="L117" s="37"/>
      <c r="M117" s="7" t="s">
        <v>78</v>
      </c>
      <c r="N117" s="112">
        <f>24979000+24979000</f>
        <v>49958000</v>
      </c>
      <c r="O117" s="196">
        <f t="shared" si="24"/>
        <v>16.66655546288574</v>
      </c>
      <c r="P117" s="91" t="s">
        <v>139</v>
      </c>
      <c r="Q117" s="91" t="s">
        <v>141</v>
      </c>
      <c r="R117" s="88">
        <v>5500000</v>
      </c>
      <c r="S117" s="88"/>
      <c r="T117" s="88">
        <f>R117+S117</f>
        <v>5500000</v>
      </c>
      <c r="U117" s="205">
        <f t="shared" si="26"/>
        <v>11.009247768125226</v>
      </c>
      <c r="V117" s="8">
        <f>J117-T117</f>
        <v>294250000</v>
      </c>
      <c r="W117" s="189">
        <f>V117/J117*100</f>
        <v>98.1651376146789</v>
      </c>
      <c r="X117" s="7"/>
      <c r="Y117" s="38"/>
      <c r="Z117" s="46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s="26" customFormat="1" ht="27">
      <c r="A118" s="130">
        <v>3</v>
      </c>
      <c r="B118" s="143" t="s">
        <v>248</v>
      </c>
      <c r="C118" s="130"/>
      <c r="D118" s="132"/>
      <c r="E118" s="132"/>
      <c r="F118" s="132"/>
      <c r="G118" s="130"/>
      <c r="H118" s="132"/>
      <c r="I118" s="130"/>
      <c r="J118" s="133">
        <f>J119</f>
        <v>2131739000</v>
      </c>
      <c r="K118" s="134"/>
      <c r="L118" s="135"/>
      <c r="M118" s="139"/>
      <c r="N118" s="137">
        <f>N119</f>
        <v>300000000</v>
      </c>
      <c r="O118" s="194"/>
      <c r="P118" s="168"/>
      <c r="Q118" s="168"/>
      <c r="R118" s="138">
        <f>R119</f>
        <v>67712000</v>
      </c>
      <c r="S118" s="138"/>
      <c r="T118" s="138">
        <f>T119</f>
        <v>67712000</v>
      </c>
      <c r="U118" s="202"/>
      <c r="V118" s="139">
        <f>V119</f>
        <v>2064027000</v>
      </c>
      <c r="W118" s="187"/>
      <c r="X118" s="139"/>
      <c r="Y118" s="106"/>
      <c r="Z118" s="45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s="26" customFormat="1" ht="13.5">
      <c r="A119" s="118"/>
      <c r="B119" s="129" t="s">
        <v>79</v>
      </c>
      <c r="C119" s="118"/>
      <c r="D119" s="120"/>
      <c r="E119" s="120"/>
      <c r="F119" s="120"/>
      <c r="G119" s="118"/>
      <c r="H119" s="120"/>
      <c r="I119" s="118"/>
      <c r="J119" s="121">
        <f>J120</f>
        <v>2131739000</v>
      </c>
      <c r="K119" s="121"/>
      <c r="L119" s="121"/>
      <c r="M119" s="121"/>
      <c r="N119" s="121">
        <f aca="true" t="shared" si="29" ref="N119:W119">N120</f>
        <v>300000000</v>
      </c>
      <c r="O119" s="121">
        <f t="shared" si="29"/>
        <v>14.07301738158377</v>
      </c>
      <c r="P119" s="121"/>
      <c r="Q119" s="121"/>
      <c r="R119" s="123">
        <f t="shared" si="29"/>
        <v>67712000</v>
      </c>
      <c r="S119" s="123">
        <f t="shared" si="29"/>
        <v>0</v>
      </c>
      <c r="T119" s="123">
        <f t="shared" si="29"/>
        <v>67712000</v>
      </c>
      <c r="U119" s="121">
        <f t="shared" si="29"/>
        <v>22.570666666666668</v>
      </c>
      <c r="V119" s="121">
        <f t="shared" si="29"/>
        <v>2064027000</v>
      </c>
      <c r="W119" s="121">
        <f t="shared" si="29"/>
        <v>96.82362615686067</v>
      </c>
      <c r="X119" s="121"/>
      <c r="Y119" s="106"/>
      <c r="Z119" s="45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5" customFormat="1" ht="13.5">
      <c r="A120" s="10"/>
      <c r="B120" s="96" t="s">
        <v>93</v>
      </c>
      <c r="C120" s="10" t="s">
        <v>119</v>
      </c>
      <c r="D120" s="102" t="s">
        <v>37</v>
      </c>
      <c r="E120" s="102" t="s">
        <v>140</v>
      </c>
      <c r="F120" s="102" t="s">
        <v>75</v>
      </c>
      <c r="G120" s="10" t="s">
        <v>28</v>
      </c>
      <c r="H120" s="102" t="s">
        <v>5</v>
      </c>
      <c r="I120" s="10"/>
      <c r="J120" s="98">
        <f>J121+J122</f>
        <v>2131739000</v>
      </c>
      <c r="K120" s="103"/>
      <c r="L120" s="104"/>
      <c r="M120" s="105"/>
      <c r="N120" s="110">
        <f>N121</f>
        <v>300000000</v>
      </c>
      <c r="O120" s="195">
        <f t="shared" si="24"/>
        <v>14.07301738158377</v>
      </c>
      <c r="P120" s="170" t="s">
        <v>139</v>
      </c>
      <c r="Q120" s="170" t="s">
        <v>141</v>
      </c>
      <c r="R120" s="89">
        <f>R121</f>
        <v>67712000</v>
      </c>
      <c r="S120" s="89">
        <f>S121</f>
        <v>0</v>
      </c>
      <c r="T120" s="89">
        <f>T121</f>
        <v>67712000</v>
      </c>
      <c r="U120" s="204">
        <f t="shared" si="26"/>
        <v>22.570666666666668</v>
      </c>
      <c r="V120" s="86">
        <f>V121+V122</f>
        <v>2064027000</v>
      </c>
      <c r="W120" s="189">
        <f aca="true" t="shared" si="30" ref="W120:W142">V120/J120*100</f>
        <v>96.82362615686067</v>
      </c>
      <c r="X120" s="105"/>
      <c r="Y120" s="38"/>
      <c r="Z120" s="46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s="25" customFormat="1" ht="13.5">
      <c r="A121" s="9"/>
      <c r="B121" s="247" t="s">
        <v>203</v>
      </c>
      <c r="C121" s="9" t="s">
        <v>121</v>
      </c>
      <c r="D121" s="5" t="s">
        <v>37</v>
      </c>
      <c r="E121" s="5" t="s">
        <v>140</v>
      </c>
      <c r="F121" s="5" t="s">
        <v>75</v>
      </c>
      <c r="G121" s="9" t="s">
        <v>28</v>
      </c>
      <c r="H121" s="5" t="s">
        <v>5</v>
      </c>
      <c r="I121" s="9"/>
      <c r="J121" s="11">
        <v>1711121000</v>
      </c>
      <c r="K121" s="36"/>
      <c r="L121" s="37"/>
      <c r="M121" s="7" t="s">
        <v>78</v>
      </c>
      <c r="N121" s="112">
        <f>150000000+150000000</f>
        <v>300000000</v>
      </c>
      <c r="O121" s="196">
        <f t="shared" si="24"/>
        <v>17.532366209052427</v>
      </c>
      <c r="P121" s="91" t="s">
        <v>139</v>
      </c>
      <c r="Q121" s="91" t="s">
        <v>141</v>
      </c>
      <c r="R121" s="88">
        <v>67712000</v>
      </c>
      <c r="S121" s="88"/>
      <c r="T121" s="88">
        <f>R121+S121</f>
        <v>67712000</v>
      </c>
      <c r="U121" s="205">
        <f t="shared" si="26"/>
        <v>22.570666666666668</v>
      </c>
      <c r="V121" s="8">
        <f>J121-T121</f>
        <v>1643409000</v>
      </c>
      <c r="W121" s="189">
        <f t="shared" si="30"/>
        <v>96.04282806417548</v>
      </c>
      <c r="X121" s="7"/>
      <c r="Y121" s="38"/>
      <c r="Z121" s="46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s="25" customFormat="1" ht="13.5">
      <c r="A122" s="9"/>
      <c r="B122" s="247" t="s">
        <v>249</v>
      </c>
      <c r="C122" s="9" t="s">
        <v>250</v>
      </c>
      <c r="D122" s="5" t="s">
        <v>37</v>
      </c>
      <c r="E122" s="5" t="s">
        <v>308</v>
      </c>
      <c r="F122" s="5" t="s">
        <v>75</v>
      </c>
      <c r="G122" s="9" t="s">
        <v>28</v>
      </c>
      <c r="H122" s="5" t="s">
        <v>5</v>
      </c>
      <c r="I122" s="9"/>
      <c r="J122" s="11">
        <v>420618000</v>
      </c>
      <c r="K122" s="36"/>
      <c r="L122" s="37"/>
      <c r="M122" s="7" t="s">
        <v>78</v>
      </c>
      <c r="N122" s="112">
        <v>0</v>
      </c>
      <c r="O122" s="196"/>
      <c r="P122" s="91" t="s">
        <v>309</v>
      </c>
      <c r="Q122" s="91" t="s">
        <v>309</v>
      </c>
      <c r="R122" s="88"/>
      <c r="S122" s="88"/>
      <c r="T122" s="88"/>
      <c r="U122" s="205">
        <v>0</v>
      </c>
      <c r="V122" s="8">
        <f>J122-T122</f>
        <v>420618000</v>
      </c>
      <c r="W122" s="189">
        <f t="shared" si="30"/>
        <v>100</v>
      </c>
      <c r="X122" s="7"/>
      <c r="Y122" s="38"/>
      <c r="Z122" s="46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s="126" customFormat="1" ht="27">
      <c r="A123" s="132">
        <v>4</v>
      </c>
      <c r="B123" s="131" t="s">
        <v>251</v>
      </c>
      <c r="C123" s="130" t="s">
        <v>130</v>
      </c>
      <c r="D123" s="132"/>
      <c r="E123" s="132"/>
      <c r="F123" s="213"/>
      <c r="G123" s="130"/>
      <c r="H123" s="132"/>
      <c r="I123" s="132"/>
      <c r="J123" s="136">
        <f>J124+J140</f>
        <v>1454033600</v>
      </c>
      <c r="K123" s="136"/>
      <c r="L123" s="136"/>
      <c r="M123" s="136"/>
      <c r="N123" s="136">
        <f>N124+N140</f>
        <v>1309365600</v>
      </c>
      <c r="O123" s="136">
        <f>N123/J123*100</f>
        <v>90.05057379691912</v>
      </c>
      <c r="P123" s="136"/>
      <c r="Q123" s="136"/>
      <c r="R123" s="138">
        <f>R124+R140</f>
        <v>42250000</v>
      </c>
      <c r="S123" s="138">
        <f>S124+S140</f>
        <v>9000000</v>
      </c>
      <c r="T123" s="138">
        <f>T124+T140</f>
        <v>51250000</v>
      </c>
      <c r="U123" s="136">
        <f>T123/N123*100</f>
        <v>3.914109244965654</v>
      </c>
      <c r="V123" s="136">
        <f>V124+V140</f>
        <v>1402783600</v>
      </c>
      <c r="W123" s="136">
        <f t="shared" si="30"/>
        <v>96.47532216587017</v>
      </c>
      <c r="X123" s="136"/>
      <c r="Y123" s="51"/>
      <c r="Z123" s="45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s="26" customFormat="1" ht="13.5">
      <c r="A124" s="120"/>
      <c r="B124" s="141" t="s">
        <v>79</v>
      </c>
      <c r="C124" s="118"/>
      <c r="D124" s="120"/>
      <c r="E124" s="120"/>
      <c r="F124" s="216"/>
      <c r="G124" s="118"/>
      <c r="H124" s="120"/>
      <c r="I124" s="120"/>
      <c r="J124" s="122">
        <f>J125+J129+J131+J133+J135+J137</f>
        <v>1424933600</v>
      </c>
      <c r="K124" s="122"/>
      <c r="L124" s="122"/>
      <c r="M124" s="122"/>
      <c r="N124" s="122">
        <f>N125+N129+N131+N133+N135+N137</f>
        <v>1280265600</v>
      </c>
      <c r="O124" s="122">
        <f>N124/J124*100</f>
        <v>89.8473865729603</v>
      </c>
      <c r="P124" s="122"/>
      <c r="Q124" s="122"/>
      <c r="R124" s="124">
        <f>R125+R129+R131+R133+R135+R137</f>
        <v>42250000</v>
      </c>
      <c r="S124" s="124">
        <f>S125+S129+S131+S133+S135+S137</f>
        <v>9000000</v>
      </c>
      <c r="T124" s="124">
        <f>T125+T129+T131+T133+T135+T137</f>
        <v>51250000</v>
      </c>
      <c r="U124" s="122">
        <f>T124/N124*100</f>
        <v>4.003075611810549</v>
      </c>
      <c r="V124" s="122">
        <f>V125+V129+V131+V133+V135+V137</f>
        <v>1373683600</v>
      </c>
      <c r="W124" s="122">
        <f t="shared" si="30"/>
        <v>96.40334118024867</v>
      </c>
      <c r="X124" s="122"/>
      <c r="Y124" s="51"/>
      <c r="Z124" s="45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s="26" customFormat="1" ht="13.5">
      <c r="A125" s="107"/>
      <c r="B125" s="242" t="s">
        <v>252</v>
      </c>
      <c r="C125" s="108" t="s">
        <v>112</v>
      </c>
      <c r="D125" s="107" t="s">
        <v>76</v>
      </c>
      <c r="E125" s="107" t="s">
        <v>306</v>
      </c>
      <c r="F125" s="107" t="s">
        <v>75</v>
      </c>
      <c r="G125" s="10" t="s">
        <v>28</v>
      </c>
      <c r="H125" s="102" t="s">
        <v>5</v>
      </c>
      <c r="I125" s="107"/>
      <c r="J125" s="85">
        <f>SUM(J126:J128)</f>
        <v>202230200</v>
      </c>
      <c r="K125" s="85"/>
      <c r="L125" s="85"/>
      <c r="M125" s="85"/>
      <c r="N125" s="85">
        <f aca="true" t="shared" si="31" ref="N125:V125">SUM(N126:N128)</f>
        <v>167562200</v>
      </c>
      <c r="O125" s="85">
        <f>N125/J125*100</f>
        <v>82.85715981094812</v>
      </c>
      <c r="P125" s="170" t="s">
        <v>139</v>
      </c>
      <c r="Q125" s="170" t="s">
        <v>141</v>
      </c>
      <c r="R125" s="89">
        <f t="shared" si="31"/>
        <v>0</v>
      </c>
      <c r="S125" s="89">
        <f t="shared" si="31"/>
        <v>0</v>
      </c>
      <c r="T125" s="89">
        <f t="shared" si="31"/>
        <v>0</v>
      </c>
      <c r="U125" s="85">
        <f>T125/N125*100</f>
        <v>0</v>
      </c>
      <c r="V125" s="85">
        <f t="shared" si="31"/>
        <v>202230200</v>
      </c>
      <c r="W125" s="85">
        <f t="shared" si="30"/>
        <v>100</v>
      </c>
      <c r="X125" s="85"/>
      <c r="Y125" s="51"/>
      <c r="Z125" s="45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s="25" customFormat="1" ht="27">
      <c r="A126" s="84"/>
      <c r="B126" s="247" t="s">
        <v>253</v>
      </c>
      <c r="C126" s="87" t="s">
        <v>267</v>
      </c>
      <c r="D126" s="84" t="s">
        <v>76</v>
      </c>
      <c r="E126" s="84" t="s">
        <v>306</v>
      </c>
      <c r="F126" s="84" t="s">
        <v>75</v>
      </c>
      <c r="G126" s="9" t="s">
        <v>28</v>
      </c>
      <c r="H126" s="5" t="s">
        <v>5</v>
      </c>
      <c r="I126" s="84"/>
      <c r="J126" s="39">
        <v>85857000</v>
      </c>
      <c r="K126" s="39"/>
      <c r="L126" s="39"/>
      <c r="M126" s="7" t="s">
        <v>221</v>
      </c>
      <c r="N126" s="88">
        <v>85857000</v>
      </c>
      <c r="O126" s="39">
        <f aca="true" t="shared" si="32" ref="O126:O142">N126/J126*100</f>
        <v>100</v>
      </c>
      <c r="P126" s="91" t="s">
        <v>139</v>
      </c>
      <c r="Q126" s="91" t="s">
        <v>139</v>
      </c>
      <c r="R126" s="88"/>
      <c r="S126" s="88"/>
      <c r="T126" s="88"/>
      <c r="U126" s="39">
        <f>T126/N126*100</f>
        <v>0</v>
      </c>
      <c r="V126" s="8">
        <f>J126-T126</f>
        <v>85857000</v>
      </c>
      <c r="W126" s="39">
        <f t="shared" si="30"/>
        <v>100</v>
      </c>
      <c r="X126" s="39"/>
      <c r="Y126" s="166"/>
      <c r="Z126" s="46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s="25" customFormat="1" ht="13.5">
      <c r="A127" s="84"/>
      <c r="B127" s="247" t="s">
        <v>254</v>
      </c>
      <c r="C127" s="87" t="s">
        <v>109</v>
      </c>
      <c r="D127" s="84" t="s">
        <v>76</v>
      </c>
      <c r="E127" s="84" t="s">
        <v>306</v>
      </c>
      <c r="F127" s="84" t="s">
        <v>75</v>
      </c>
      <c r="G127" s="9" t="s">
        <v>28</v>
      </c>
      <c r="H127" s="5" t="s">
        <v>5</v>
      </c>
      <c r="I127" s="84"/>
      <c r="J127" s="39">
        <v>74773200</v>
      </c>
      <c r="K127" s="39"/>
      <c r="L127" s="39"/>
      <c r="M127" s="7" t="s">
        <v>221</v>
      </c>
      <c r="N127" s="88">
        <v>74773200</v>
      </c>
      <c r="O127" s="39">
        <f t="shared" si="32"/>
        <v>100</v>
      </c>
      <c r="P127" s="91" t="s">
        <v>139</v>
      </c>
      <c r="Q127" s="91" t="s">
        <v>141</v>
      </c>
      <c r="R127" s="88"/>
      <c r="S127" s="88"/>
      <c r="T127" s="88"/>
      <c r="U127" s="39">
        <f aca="true" t="shared" si="33" ref="U127:U142">T127/N127*100</f>
        <v>0</v>
      </c>
      <c r="V127" s="8">
        <f>J127-T127</f>
        <v>74773200</v>
      </c>
      <c r="W127" s="39">
        <f t="shared" si="30"/>
        <v>100</v>
      </c>
      <c r="X127" s="39"/>
      <c r="Y127" s="166"/>
      <c r="Z127" s="46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25" customFormat="1" ht="13.5">
      <c r="A128" s="84"/>
      <c r="B128" s="247" t="s">
        <v>255</v>
      </c>
      <c r="C128" s="87" t="s">
        <v>268</v>
      </c>
      <c r="D128" s="84" t="s">
        <v>76</v>
      </c>
      <c r="E128" s="84" t="s">
        <v>140</v>
      </c>
      <c r="F128" s="84" t="s">
        <v>75</v>
      </c>
      <c r="G128" s="9" t="s">
        <v>28</v>
      </c>
      <c r="H128" s="5" t="s">
        <v>5</v>
      </c>
      <c r="I128" s="84"/>
      <c r="J128" s="39">
        <v>41600000</v>
      </c>
      <c r="K128" s="39"/>
      <c r="L128" s="39"/>
      <c r="M128" s="7" t="s">
        <v>78</v>
      </c>
      <c r="N128" s="88">
        <f>3466000+3466000</f>
        <v>6932000</v>
      </c>
      <c r="O128" s="39">
        <f t="shared" si="32"/>
        <v>16.663461538461537</v>
      </c>
      <c r="P128" s="91" t="s">
        <v>139</v>
      </c>
      <c r="Q128" s="91" t="s">
        <v>141</v>
      </c>
      <c r="R128" s="88"/>
      <c r="S128" s="88"/>
      <c r="T128" s="88"/>
      <c r="U128" s="39">
        <f t="shared" si="33"/>
        <v>0</v>
      </c>
      <c r="V128" s="8">
        <f>J128-T128</f>
        <v>41600000</v>
      </c>
      <c r="W128" s="39">
        <f t="shared" si="30"/>
        <v>100</v>
      </c>
      <c r="X128" s="39"/>
      <c r="Y128" s="166"/>
      <c r="Z128" s="46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26" customFormat="1" ht="13.5">
      <c r="A129" s="107"/>
      <c r="B129" s="242" t="s">
        <v>256</v>
      </c>
      <c r="C129" s="108" t="s">
        <v>269</v>
      </c>
      <c r="D129" s="107" t="s">
        <v>76</v>
      </c>
      <c r="E129" s="107" t="s">
        <v>306</v>
      </c>
      <c r="F129" s="107" t="s">
        <v>75</v>
      </c>
      <c r="G129" s="10" t="s">
        <v>28</v>
      </c>
      <c r="H129" s="102" t="s">
        <v>5</v>
      </c>
      <c r="I129" s="107"/>
      <c r="J129" s="85">
        <f>J130</f>
        <v>566600000</v>
      </c>
      <c r="K129" s="85"/>
      <c r="L129" s="85"/>
      <c r="M129" s="85"/>
      <c r="N129" s="85">
        <f aca="true" t="shared" si="34" ref="N129:V129">N130</f>
        <v>566600000</v>
      </c>
      <c r="O129" s="85">
        <f t="shared" si="32"/>
        <v>100</v>
      </c>
      <c r="P129" s="170" t="s">
        <v>139</v>
      </c>
      <c r="Q129" s="170" t="s">
        <v>139</v>
      </c>
      <c r="R129" s="89">
        <f t="shared" si="34"/>
        <v>0</v>
      </c>
      <c r="S129" s="89">
        <f t="shared" si="34"/>
        <v>0</v>
      </c>
      <c r="T129" s="89">
        <f t="shared" si="34"/>
        <v>0</v>
      </c>
      <c r="U129" s="85">
        <f>T129/N129*100</f>
        <v>0</v>
      </c>
      <c r="V129" s="85">
        <f t="shared" si="34"/>
        <v>566600000</v>
      </c>
      <c r="W129" s="85">
        <f t="shared" si="30"/>
        <v>100</v>
      </c>
      <c r="X129" s="85"/>
      <c r="Y129" s="51"/>
      <c r="Z129" s="45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s="25" customFormat="1" ht="13.5">
      <c r="A130" s="84"/>
      <c r="B130" s="247" t="s">
        <v>257</v>
      </c>
      <c r="C130" s="87" t="s">
        <v>270</v>
      </c>
      <c r="D130" s="84" t="s">
        <v>76</v>
      </c>
      <c r="E130" s="84" t="s">
        <v>306</v>
      </c>
      <c r="F130" s="84" t="s">
        <v>75</v>
      </c>
      <c r="G130" s="9" t="s">
        <v>28</v>
      </c>
      <c r="H130" s="5" t="s">
        <v>5</v>
      </c>
      <c r="I130" s="84"/>
      <c r="J130" s="39">
        <v>566600000</v>
      </c>
      <c r="K130" s="39"/>
      <c r="L130" s="39"/>
      <c r="M130" s="7" t="s">
        <v>78</v>
      </c>
      <c r="N130" s="88">
        <v>566600000</v>
      </c>
      <c r="O130" s="39">
        <f t="shared" si="32"/>
        <v>100</v>
      </c>
      <c r="P130" s="91" t="s">
        <v>139</v>
      </c>
      <c r="Q130" s="91" t="s">
        <v>139</v>
      </c>
      <c r="R130" s="88"/>
      <c r="S130" s="88"/>
      <c r="T130" s="88"/>
      <c r="U130" s="39">
        <f t="shared" si="33"/>
        <v>0</v>
      </c>
      <c r="V130" s="8">
        <f>J130-T130</f>
        <v>566600000</v>
      </c>
      <c r="W130" s="39">
        <f t="shared" si="30"/>
        <v>100</v>
      </c>
      <c r="X130" s="39"/>
      <c r="Y130" s="166"/>
      <c r="Z130" s="46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s="26" customFormat="1" ht="13.5">
      <c r="A131" s="107"/>
      <c r="B131" s="242" t="s">
        <v>106</v>
      </c>
      <c r="C131" s="108" t="s">
        <v>114</v>
      </c>
      <c r="D131" s="107" t="s">
        <v>76</v>
      </c>
      <c r="E131" s="107" t="s">
        <v>140</v>
      </c>
      <c r="F131" s="107" t="s">
        <v>75</v>
      </c>
      <c r="G131" s="10" t="s">
        <v>28</v>
      </c>
      <c r="H131" s="102" t="s">
        <v>5</v>
      </c>
      <c r="I131" s="107"/>
      <c r="J131" s="85">
        <f>J132</f>
        <v>24000000</v>
      </c>
      <c r="K131" s="85"/>
      <c r="L131" s="85"/>
      <c r="M131" s="85"/>
      <c r="N131" s="85">
        <f aca="true" t="shared" si="35" ref="N131:V131">N132</f>
        <v>4000000</v>
      </c>
      <c r="O131" s="85">
        <f t="shared" si="32"/>
        <v>16.666666666666664</v>
      </c>
      <c r="P131" s="170" t="s">
        <v>139</v>
      </c>
      <c r="Q131" s="170" t="s">
        <v>141</v>
      </c>
      <c r="R131" s="89">
        <f t="shared" si="35"/>
        <v>0</v>
      </c>
      <c r="S131" s="89">
        <f t="shared" si="35"/>
        <v>0</v>
      </c>
      <c r="T131" s="89">
        <f t="shared" si="35"/>
        <v>0</v>
      </c>
      <c r="U131" s="85">
        <f t="shared" si="33"/>
        <v>0</v>
      </c>
      <c r="V131" s="85">
        <f t="shared" si="35"/>
        <v>24000000</v>
      </c>
      <c r="W131" s="85">
        <f t="shared" si="30"/>
        <v>100</v>
      </c>
      <c r="X131" s="85"/>
      <c r="Y131" s="51"/>
      <c r="Z131" s="45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s="25" customFormat="1" ht="13.5">
      <c r="A132" s="84"/>
      <c r="B132" s="247" t="s">
        <v>258</v>
      </c>
      <c r="C132" s="87" t="s">
        <v>271</v>
      </c>
      <c r="D132" s="84" t="s">
        <v>76</v>
      </c>
      <c r="E132" s="84" t="s">
        <v>140</v>
      </c>
      <c r="F132" s="84" t="s">
        <v>75</v>
      </c>
      <c r="G132" s="9" t="s">
        <v>28</v>
      </c>
      <c r="H132" s="5" t="s">
        <v>5</v>
      </c>
      <c r="I132" s="84"/>
      <c r="J132" s="39">
        <v>24000000</v>
      </c>
      <c r="K132" s="39"/>
      <c r="L132" s="39"/>
      <c r="M132" s="7" t="s">
        <v>78</v>
      </c>
      <c r="N132" s="88">
        <f>2000000+2000000</f>
        <v>4000000</v>
      </c>
      <c r="O132" s="39">
        <f t="shared" si="32"/>
        <v>16.666666666666664</v>
      </c>
      <c r="P132" s="91" t="s">
        <v>139</v>
      </c>
      <c r="Q132" s="91" t="s">
        <v>141</v>
      </c>
      <c r="R132" s="88"/>
      <c r="S132" s="88"/>
      <c r="T132" s="88"/>
      <c r="U132" s="39">
        <f>T132/N132*100</f>
        <v>0</v>
      </c>
      <c r="V132" s="8">
        <f>J132-T132</f>
        <v>24000000</v>
      </c>
      <c r="W132" s="39">
        <f t="shared" si="30"/>
        <v>100</v>
      </c>
      <c r="X132" s="39"/>
      <c r="Y132" s="166"/>
      <c r="Z132" s="46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26" customFormat="1" ht="13.5">
      <c r="A133" s="107"/>
      <c r="B133" s="242" t="s">
        <v>259</v>
      </c>
      <c r="C133" s="108" t="s">
        <v>132</v>
      </c>
      <c r="D133" s="107" t="s">
        <v>76</v>
      </c>
      <c r="E133" s="107" t="s">
        <v>306</v>
      </c>
      <c r="F133" s="107" t="s">
        <v>75</v>
      </c>
      <c r="G133" s="10" t="s">
        <v>28</v>
      </c>
      <c r="H133" s="102" t="s">
        <v>5</v>
      </c>
      <c r="I133" s="107"/>
      <c r="J133" s="85">
        <f>J134</f>
        <v>477000000</v>
      </c>
      <c r="K133" s="85"/>
      <c r="L133" s="85"/>
      <c r="M133" s="85"/>
      <c r="N133" s="85">
        <f aca="true" t="shared" si="36" ref="N133:T133">N134</f>
        <v>477000000</v>
      </c>
      <c r="O133" s="85">
        <f t="shared" si="32"/>
        <v>100</v>
      </c>
      <c r="P133" s="170" t="s">
        <v>139</v>
      </c>
      <c r="Q133" s="170" t="s">
        <v>139</v>
      </c>
      <c r="R133" s="89">
        <f t="shared" si="36"/>
        <v>33250000</v>
      </c>
      <c r="S133" s="89">
        <f t="shared" si="36"/>
        <v>0</v>
      </c>
      <c r="T133" s="89">
        <f t="shared" si="36"/>
        <v>33250000</v>
      </c>
      <c r="U133" s="85">
        <f t="shared" si="33"/>
        <v>6.970649895178196</v>
      </c>
      <c r="V133" s="85">
        <f>V134</f>
        <v>443750000</v>
      </c>
      <c r="W133" s="85">
        <f t="shared" si="30"/>
        <v>93.0293501048218</v>
      </c>
      <c r="X133" s="85"/>
      <c r="Y133" s="51"/>
      <c r="Z133" s="45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s="25" customFormat="1" ht="13.5">
      <c r="A134" s="84"/>
      <c r="B134" s="247" t="s">
        <v>260</v>
      </c>
      <c r="C134" s="87" t="s">
        <v>133</v>
      </c>
      <c r="D134" s="84" t="s">
        <v>76</v>
      </c>
      <c r="E134" s="84" t="s">
        <v>306</v>
      </c>
      <c r="F134" s="84" t="s">
        <v>75</v>
      </c>
      <c r="G134" s="9" t="s">
        <v>28</v>
      </c>
      <c r="H134" s="5" t="s">
        <v>5</v>
      </c>
      <c r="I134" s="84"/>
      <c r="J134" s="39">
        <v>477000000</v>
      </c>
      <c r="K134" s="39"/>
      <c r="L134" s="39"/>
      <c r="M134" s="7" t="s">
        <v>78</v>
      </c>
      <c r="N134" s="88">
        <f>477000000</f>
        <v>477000000</v>
      </c>
      <c r="O134" s="39">
        <f t="shared" si="32"/>
        <v>100</v>
      </c>
      <c r="P134" s="91" t="s">
        <v>139</v>
      </c>
      <c r="Q134" s="91" t="s">
        <v>139</v>
      </c>
      <c r="R134" s="88">
        <v>33250000</v>
      </c>
      <c r="S134" s="88"/>
      <c r="T134" s="88">
        <f>R134+S134</f>
        <v>33250000</v>
      </c>
      <c r="U134" s="39">
        <f t="shared" si="33"/>
        <v>6.970649895178196</v>
      </c>
      <c r="V134" s="8">
        <f>J134-T134</f>
        <v>443750000</v>
      </c>
      <c r="W134" s="39">
        <f t="shared" si="30"/>
        <v>93.0293501048218</v>
      </c>
      <c r="X134" s="39"/>
      <c r="Y134" s="166"/>
      <c r="Z134" s="46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26" customFormat="1" ht="13.5">
      <c r="A135" s="107"/>
      <c r="B135" s="242" t="s">
        <v>204</v>
      </c>
      <c r="C135" s="108" t="s">
        <v>122</v>
      </c>
      <c r="D135" s="107" t="s">
        <v>76</v>
      </c>
      <c r="E135" s="107" t="s">
        <v>140</v>
      </c>
      <c r="F135" s="107" t="s">
        <v>75</v>
      </c>
      <c r="G135" s="10" t="s">
        <v>28</v>
      </c>
      <c r="H135" s="102" t="s">
        <v>5</v>
      </c>
      <c r="I135" s="107"/>
      <c r="J135" s="85">
        <f>J136</f>
        <v>108000000</v>
      </c>
      <c r="K135" s="85"/>
      <c r="L135" s="85"/>
      <c r="M135" s="85"/>
      <c r="N135" s="85">
        <f aca="true" t="shared" si="37" ref="N135:V135">N136</f>
        <v>18000000</v>
      </c>
      <c r="O135" s="85">
        <f t="shared" si="32"/>
        <v>16.666666666666664</v>
      </c>
      <c r="P135" s="170" t="s">
        <v>139</v>
      </c>
      <c r="Q135" s="170" t="s">
        <v>141</v>
      </c>
      <c r="R135" s="89">
        <f t="shared" si="37"/>
        <v>9000000</v>
      </c>
      <c r="S135" s="89">
        <f t="shared" si="37"/>
        <v>9000000</v>
      </c>
      <c r="T135" s="89">
        <f t="shared" si="37"/>
        <v>18000000</v>
      </c>
      <c r="U135" s="85">
        <f t="shared" si="33"/>
        <v>100</v>
      </c>
      <c r="V135" s="85">
        <f t="shared" si="37"/>
        <v>90000000</v>
      </c>
      <c r="W135" s="85">
        <f t="shared" si="30"/>
        <v>83.33333333333334</v>
      </c>
      <c r="X135" s="85"/>
      <c r="Y135" s="51"/>
      <c r="Z135" s="45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s="25" customFormat="1" ht="13.5">
      <c r="A136" s="84"/>
      <c r="B136" s="247" t="s">
        <v>205</v>
      </c>
      <c r="C136" s="87" t="s">
        <v>123</v>
      </c>
      <c r="D136" s="84" t="s">
        <v>76</v>
      </c>
      <c r="E136" s="84" t="s">
        <v>140</v>
      </c>
      <c r="F136" s="84" t="s">
        <v>75</v>
      </c>
      <c r="G136" s="9" t="s">
        <v>28</v>
      </c>
      <c r="H136" s="5" t="s">
        <v>5</v>
      </c>
      <c r="I136" s="84"/>
      <c r="J136" s="39">
        <v>108000000</v>
      </c>
      <c r="K136" s="39"/>
      <c r="L136" s="39"/>
      <c r="M136" s="7" t="s">
        <v>78</v>
      </c>
      <c r="N136" s="88">
        <f>9000000+9000000</f>
        <v>18000000</v>
      </c>
      <c r="O136" s="39">
        <f t="shared" si="32"/>
        <v>16.666666666666664</v>
      </c>
      <c r="P136" s="91" t="s">
        <v>139</v>
      </c>
      <c r="Q136" s="91" t="s">
        <v>141</v>
      </c>
      <c r="R136" s="88">
        <v>9000000</v>
      </c>
      <c r="S136" s="88">
        <v>9000000</v>
      </c>
      <c r="T136" s="88">
        <f>R136+S136</f>
        <v>18000000</v>
      </c>
      <c r="U136" s="39">
        <f t="shared" si="33"/>
        <v>100</v>
      </c>
      <c r="V136" s="8">
        <f>J136-T136</f>
        <v>90000000</v>
      </c>
      <c r="W136" s="39">
        <f t="shared" si="30"/>
        <v>83.33333333333334</v>
      </c>
      <c r="X136" s="39"/>
      <c r="Y136" s="166"/>
      <c r="Z136" s="46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26" customFormat="1" ht="13.5">
      <c r="A137" s="107"/>
      <c r="B137" s="242" t="s">
        <v>261</v>
      </c>
      <c r="C137" s="108" t="s">
        <v>272</v>
      </c>
      <c r="D137" s="107" t="s">
        <v>76</v>
      </c>
      <c r="E137" s="107" t="s">
        <v>306</v>
      </c>
      <c r="F137" s="107" t="s">
        <v>75</v>
      </c>
      <c r="G137" s="10" t="s">
        <v>28</v>
      </c>
      <c r="H137" s="102" t="s">
        <v>5</v>
      </c>
      <c r="I137" s="107"/>
      <c r="J137" s="85">
        <f>SUM(J138:J139)</f>
        <v>47103400</v>
      </c>
      <c r="K137" s="85"/>
      <c r="L137" s="85"/>
      <c r="M137" s="85"/>
      <c r="N137" s="85">
        <f aca="true" t="shared" si="38" ref="N137:V137">SUM(N138:N139)</f>
        <v>47103400</v>
      </c>
      <c r="O137" s="85">
        <f t="shared" si="32"/>
        <v>100</v>
      </c>
      <c r="P137" s="170" t="s">
        <v>139</v>
      </c>
      <c r="Q137" s="170" t="s">
        <v>139</v>
      </c>
      <c r="R137" s="89">
        <f t="shared" si="38"/>
        <v>0</v>
      </c>
      <c r="S137" s="89">
        <f t="shared" si="38"/>
        <v>0</v>
      </c>
      <c r="T137" s="89">
        <f>SUM(T138:T139)</f>
        <v>0</v>
      </c>
      <c r="U137" s="85">
        <f t="shared" si="33"/>
        <v>0</v>
      </c>
      <c r="V137" s="85">
        <f t="shared" si="38"/>
        <v>47103400</v>
      </c>
      <c r="W137" s="85">
        <f t="shared" si="30"/>
        <v>100</v>
      </c>
      <c r="X137" s="85"/>
      <c r="Y137" s="51"/>
      <c r="Z137" s="45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s="25" customFormat="1" ht="13.5">
      <c r="A138" s="84"/>
      <c r="B138" s="247" t="s">
        <v>262</v>
      </c>
      <c r="C138" s="87" t="s">
        <v>273</v>
      </c>
      <c r="D138" s="84" t="s">
        <v>76</v>
      </c>
      <c r="E138" s="84" t="s">
        <v>306</v>
      </c>
      <c r="F138" s="84" t="s">
        <v>75</v>
      </c>
      <c r="G138" s="9" t="s">
        <v>28</v>
      </c>
      <c r="H138" s="5" t="s">
        <v>5</v>
      </c>
      <c r="I138" s="84"/>
      <c r="J138" s="39">
        <v>10200000</v>
      </c>
      <c r="K138" s="39"/>
      <c r="L138" s="39"/>
      <c r="M138" s="7" t="s">
        <v>221</v>
      </c>
      <c r="N138" s="88">
        <v>10200000</v>
      </c>
      <c r="O138" s="39">
        <f t="shared" si="32"/>
        <v>100</v>
      </c>
      <c r="P138" s="91" t="s">
        <v>139</v>
      </c>
      <c r="Q138" s="91" t="s">
        <v>139</v>
      </c>
      <c r="R138" s="88"/>
      <c r="S138" s="88"/>
      <c r="T138" s="88"/>
      <c r="U138" s="39">
        <f t="shared" si="33"/>
        <v>0</v>
      </c>
      <c r="V138" s="8">
        <f>J138-T138</f>
        <v>10200000</v>
      </c>
      <c r="W138" s="39">
        <f t="shared" si="30"/>
        <v>100</v>
      </c>
      <c r="X138" s="39"/>
      <c r="Y138" s="166"/>
      <c r="Z138" s="46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25" customFormat="1" ht="13.5">
      <c r="A139" s="84"/>
      <c r="B139" s="247" t="s">
        <v>263</v>
      </c>
      <c r="C139" s="87" t="s">
        <v>274</v>
      </c>
      <c r="D139" s="84" t="s">
        <v>76</v>
      </c>
      <c r="E139" s="84" t="s">
        <v>306</v>
      </c>
      <c r="F139" s="84" t="s">
        <v>75</v>
      </c>
      <c r="G139" s="9" t="s">
        <v>28</v>
      </c>
      <c r="H139" s="5" t="s">
        <v>5</v>
      </c>
      <c r="I139" s="84"/>
      <c r="J139" s="39">
        <v>36903400</v>
      </c>
      <c r="K139" s="39"/>
      <c r="L139" s="39"/>
      <c r="M139" s="7" t="s">
        <v>221</v>
      </c>
      <c r="N139" s="88">
        <v>36903400</v>
      </c>
      <c r="O139" s="39">
        <f t="shared" si="32"/>
        <v>100</v>
      </c>
      <c r="P139" s="91" t="s">
        <v>139</v>
      </c>
      <c r="Q139" s="91" t="s">
        <v>139</v>
      </c>
      <c r="R139" s="88"/>
      <c r="S139" s="88"/>
      <c r="T139" s="88"/>
      <c r="U139" s="39">
        <f t="shared" si="33"/>
        <v>0</v>
      </c>
      <c r="V139" s="8">
        <f>J139-T139</f>
        <v>36903400</v>
      </c>
      <c r="W139" s="39">
        <f t="shared" si="30"/>
        <v>100</v>
      </c>
      <c r="X139" s="39"/>
      <c r="Y139" s="166"/>
      <c r="Z139" s="46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26" customFormat="1" ht="13.5">
      <c r="A140" s="120"/>
      <c r="B140" s="271" t="s">
        <v>264</v>
      </c>
      <c r="C140" s="118"/>
      <c r="D140" s="120"/>
      <c r="E140" s="120"/>
      <c r="F140" s="120"/>
      <c r="G140" s="118"/>
      <c r="H140" s="120"/>
      <c r="I140" s="120"/>
      <c r="J140" s="122">
        <f>J141</f>
        <v>29100000</v>
      </c>
      <c r="K140" s="122"/>
      <c r="L140" s="122"/>
      <c r="M140" s="125"/>
      <c r="N140" s="124">
        <f>N141</f>
        <v>29100000</v>
      </c>
      <c r="O140" s="128"/>
      <c r="P140" s="169"/>
      <c r="Q140" s="169"/>
      <c r="R140" s="124"/>
      <c r="S140" s="124"/>
      <c r="T140" s="124"/>
      <c r="U140" s="150"/>
      <c r="V140" s="125">
        <f>V141</f>
        <v>29100000</v>
      </c>
      <c r="W140" s="150"/>
      <c r="X140" s="122"/>
      <c r="Y140" s="51"/>
      <c r="Z140" s="45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s="26" customFormat="1" ht="13.5">
      <c r="A141" s="107"/>
      <c r="B141" s="242" t="s">
        <v>265</v>
      </c>
      <c r="C141" s="108" t="s">
        <v>275</v>
      </c>
      <c r="D141" s="107" t="s">
        <v>76</v>
      </c>
      <c r="E141" s="107" t="s">
        <v>306</v>
      </c>
      <c r="F141" s="107" t="s">
        <v>75</v>
      </c>
      <c r="G141" s="10" t="s">
        <v>28</v>
      </c>
      <c r="H141" s="102" t="s">
        <v>5</v>
      </c>
      <c r="I141" s="107"/>
      <c r="J141" s="85">
        <f>J142</f>
        <v>29100000</v>
      </c>
      <c r="K141" s="85"/>
      <c r="L141" s="85"/>
      <c r="M141" s="105"/>
      <c r="N141" s="89">
        <f>N142</f>
        <v>29100000</v>
      </c>
      <c r="O141" s="85">
        <f t="shared" si="32"/>
        <v>100</v>
      </c>
      <c r="P141" s="170" t="s">
        <v>139</v>
      </c>
      <c r="Q141" s="170" t="s">
        <v>139</v>
      </c>
      <c r="R141" s="89"/>
      <c r="S141" s="89"/>
      <c r="T141" s="89"/>
      <c r="U141" s="85">
        <f t="shared" si="33"/>
        <v>0</v>
      </c>
      <c r="V141" s="86">
        <f>V142</f>
        <v>29100000</v>
      </c>
      <c r="W141" s="85">
        <f t="shared" si="30"/>
        <v>100</v>
      </c>
      <c r="X141" s="85"/>
      <c r="Y141" s="51"/>
      <c r="Z141" s="45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s="25" customFormat="1" ht="13.5">
      <c r="A142" s="84"/>
      <c r="B142" s="247" t="s">
        <v>266</v>
      </c>
      <c r="C142" s="87" t="s">
        <v>120</v>
      </c>
      <c r="D142" s="84" t="s">
        <v>76</v>
      </c>
      <c r="E142" s="84" t="s">
        <v>306</v>
      </c>
      <c r="F142" s="84" t="s">
        <v>75</v>
      </c>
      <c r="G142" s="9" t="s">
        <v>28</v>
      </c>
      <c r="H142" s="5" t="s">
        <v>5</v>
      </c>
      <c r="I142" s="84"/>
      <c r="J142" s="39">
        <v>29100000</v>
      </c>
      <c r="K142" s="39"/>
      <c r="L142" s="39"/>
      <c r="M142" s="7" t="s">
        <v>221</v>
      </c>
      <c r="N142" s="88">
        <v>29100000</v>
      </c>
      <c r="O142" s="39">
        <f t="shared" si="32"/>
        <v>100</v>
      </c>
      <c r="P142" s="91" t="s">
        <v>139</v>
      </c>
      <c r="Q142" s="91" t="s">
        <v>139</v>
      </c>
      <c r="R142" s="88"/>
      <c r="S142" s="88"/>
      <c r="T142" s="88"/>
      <c r="U142" s="39">
        <f t="shared" si="33"/>
        <v>0</v>
      </c>
      <c r="V142" s="8">
        <f>J142-T142</f>
        <v>29100000</v>
      </c>
      <c r="W142" s="39">
        <f t="shared" si="30"/>
        <v>100</v>
      </c>
      <c r="X142" s="39"/>
      <c r="Y142" s="166"/>
      <c r="Z142" s="46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26" customFormat="1" ht="27">
      <c r="A143" s="220">
        <v>5</v>
      </c>
      <c r="B143" s="272" t="s">
        <v>276</v>
      </c>
      <c r="C143" s="221"/>
      <c r="D143" s="220"/>
      <c r="E143" s="220"/>
      <c r="F143" s="220"/>
      <c r="G143" s="221"/>
      <c r="H143" s="220"/>
      <c r="I143" s="220"/>
      <c r="J143" s="222">
        <f>J144+J161</f>
        <v>138531800</v>
      </c>
      <c r="K143" s="222"/>
      <c r="L143" s="222"/>
      <c r="M143" s="222"/>
      <c r="N143" s="222">
        <f aca="true" t="shared" si="39" ref="N143:V143">N144+N161</f>
        <v>138531800</v>
      </c>
      <c r="O143" s="222">
        <f>N143/J143*100</f>
        <v>100</v>
      </c>
      <c r="P143" s="222"/>
      <c r="Q143" s="222"/>
      <c r="R143" s="279">
        <f t="shared" si="39"/>
        <v>0</v>
      </c>
      <c r="S143" s="279">
        <f t="shared" si="39"/>
        <v>0</v>
      </c>
      <c r="T143" s="279">
        <f t="shared" si="39"/>
        <v>0</v>
      </c>
      <c r="U143" s="222">
        <f t="shared" si="39"/>
        <v>0</v>
      </c>
      <c r="V143" s="222">
        <f t="shared" si="39"/>
        <v>138531800</v>
      </c>
      <c r="W143" s="222">
        <f>V143/J143*100</f>
        <v>100</v>
      </c>
      <c r="X143" s="222"/>
      <c r="Y143" s="51"/>
      <c r="Z143" s="45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s="26" customFormat="1" ht="13.5">
      <c r="A144" s="120"/>
      <c r="B144" s="271" t="s">
        <v>79</v>
      </c>
      <c r="C144" s="118"/>
      <c r="D144" s="120"/>
      <c r="E144" s="120"/>
      <c r="F144" s="120"/>
      <c r="G144" s="118"/>
      <c r="H144" s="120"/>
      <c r="I144" s="120"/>
      <c r="J144" s="122">
        <f>J145+J147+J153+J155+J157+J159</f>
        <v>67281800</v>
      </c>
      <c r="K144" s="122"/>
      <c r="L144" s="122"/>
      <c r="M144" s="122"/>
      <c r="N144" s="122">
        <f aca="true" t="shared" si="40" ref="N144:V144">N145+N147+N153+N155+N157+N159</f>
        <v>67281800</v>
      </c>
      <c r="O144" s="122">
        <f>N144/J144*100</f>
        <v>100</v>
      </c>
      <c r="P144" s="122"/>
      <c r="Q144" s="122"/>
      <c r="R144" s="124">
        <f t="shared" si="40"/>
        <v>0</v>
      </c>
      <c r="S144" s="124">
        <f t="shared" si="40"/>
        <v>0</v>
      </c>
      <c r="T144" s="124">
        <f t="shared" si="40"/>
        <v>0</v>
      </c>
      <c r="U144" s="122">
        <f t="shared" si="40"/>
        <v>0</v>
      </c>
      <c r="V144" s="122">
        <f t="shared" si="40"/>
        <v>67281800</v>
      </c>
      <c r="W144" s="122">
        <f>V144/J144*100</f>
        <v>100</v>
      </c>
      <c r="X144" s="122"/>
      <c r="Y144" s="51"/>
      <c r="Z144" s="45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s="26" customFormat="1" ht="13.5">
      <c r="A145" s="107"/>
      <c r="B145" s="242" t="s">
        <v>256</v>
      </c>
      <c r="C145" s="108" t="s">
        <v>269</v>
      </c>
      <c r="D145" s="107" t="s">
        <v>76</v>
      </c>
      <c r="E145" s="107" t="s">
        <v>306</v>
      </c>
      <c r="F145" s="107" t="s">
        <v>75</v>
      </c>
      <c r="G145" s="10" t="s">
        <v>28</v>
      </c>
      <c r="H145" s="102" t="s">
        <v>5</v>
      </c>
      <c r="I145" s="107"/>
      <c r="J145" s="243">
        <f aca="true" t="shared" si="41" ref="J145:X145">J146</f>
        <v>2271800</v>
      </c>
      <c r="K145" s="243">
        <f t="shared" si="41"/>
        <v>0</v>
      </c>
      <c r="L145" s="243">
        <f t="shared" si="41"/>
        <v>0</v>
      </c>
      <c r="M145" s="243"/>
      <c r="N145" s="243">
        <f t="shared" si="41"/>
        <v>2271800</v>
      </c>
      <c r="O145" s="243">
        <f>N145/J145*100</f>
        <v>100</v>
      </c>
      <c r="P145" s="243" t="str">
        <f t="shared" si="41"/>
        <v>feb</v>
      </c>
      <c r="Q145" s="243" t="str">
        <f t="shared" si="41"/>
        <v>feb</v>
      </c>
      <c r="R145" s="243">
        <f t="shared" si="41"/>
        <v>0</v>
      </c>
      <c r="S145" s="243">
        <f t="shared" si="41"/>
        <v>0</v>
      </c>
      <c r="T145" s="243">
        <f t="shared" si="41"/>
        <v>0</v>
      </c>
      <c r="U145" s="243">
        <f t="shared" si="41"/>
        <v>0</v>
      </c>
      <c r="V145" s="243">
        <f t="shared" si="41"/>
        <v>2271800</v>
      </c>
      <c r="W145" s="243">
        <f t="shared" si="41"/>
        <v>100</v>
      </c>
      <c r="X145" s="243">
        <f t="shared" si="41"/>
        <v>0</v>
      </c>
      <c r="Y145" s="51"/>
      <c r="Z145" s="45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s="25" customFormat="1" ht="27">
      <c r="A146" s="84"/>
      <c r="B146" s="247" t="s">
        <v>277</v>
      </c>
      <c r="C146" s="87" t="s">
        <v>289</v>
      </c>
      <c r="D146" s="84" t="s">
        <v>76</v>
      </c>
      <c r="E146" s="84" t="s">
        <v>306</v>
      </c>
      <c r="F146" s="84" t="s">
        <v>75</v>
      </c>
      <c r="G146" s="9" t="s">
        <v>28</v>
      </c>
      <c r="H146" s="5" t="s">
        <v>5</v>
      </c>
      <c r="I146" s="84"/>
      <c r="J146" s="248">
        <v>2271800</v>
      </c>
      <c r="K146" s="39"/>
      <c r="L146" s="39"/>
      <c r="M146" s="7" t="s">
        <v>221</v>
      </c>
      <c r="N146" s="88">
        <v>2271800</v>
      </c>
      <c r="O146" s="243">
        <f aca="true" t="shared" si="42" ref="O146:O163">N146/J146*100</f>
        <v>100</v>
      </c>
      <c r="P146" s="91" t="s">
        <v>141</v>
      </c>
      <c r="Q146" s="91" t="s">
        <v>141</v>
      </c>
      <c r="R146" s="88"/>
      <c r="S146" s="88"/>
      <c r="T146" s="88">
        <f aca="true" t="shared" si="43" ref="T146:T163">R146+S146</f>
        <v>0</v>
      </c>
      <c r="U146" s="39"/>
      <c r="V146" s="8">
        <f aca="true" t="shared" si="44" ref="V146:V163">J146-T146</f>
        <v>2271800</v>
      </c>
      <c r="W146" s="39">
        <f aca="true" t="shared" si="45" ref="W146:W163">V146/J146*100</f>
        <v>100</v>
      </c>
      <c r="X146" s="39"/>
      <c r="Y146" s="166"/>
      <c r="Z146" s="46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26" customFormat="1" ht="13.5">
      <c r="A147" s="107"/>
      <c r="B147" s="242" t="s">
        <v>106</v>
      </c>
      <c r="C147" s="108" t="s">
        <v>114</v>
      </c>
      <c r="D147" s="107" t="s">
        <v>76</v>
      </c>
      <c r="E147" s="107" t="s">
        <v>306</v>
      </c>
      <c r="F147" s="107" t="s">
        <v>75</v>
      </c>
      <c r="G147" s="10" t="s">
        <v>28</v>
      </c>
      <c r="H147" s="102" t="s">
        <v>5</v>
      </c>
      <c r="I147" s="107"/>
      <c r="J147" s="243">
        <f>SUM(J148:J152)</f>
        <v>17550000</v>
      </c>
      <c r="K147" s="243">
        <f aca="true" t="shared" si="46" ref="K147:X147">SUM(K148:K152)</f>
        <v>0</v>
      </c>
      <c r="L147" s="243">
        <f t="shared" si="46"/>
        <v>0</v>
      </c>
      <c r="M147" s="243">
        <f t="shared" si="46"/>
        <v>0</v>
      </c>
      <c r="N147" s="243">
        <f t="shared" si="46"/>
        <v>17550000</v>
      </c>
      <c r="O147" s="243">
        <f t="shared" si="42"/>
        <v>100</v>
      </c>
      <c r="P147" s="243">
        <f t="shared" si="46"/>
        <v>0</v>
      </c>
      <c r="Q147" s="243">
        <f t="shared" si="46"/>
        <v>0</v>
      </c>
      <c r="R147" s="243">
        <f t="shared" si="46"/>
        <v>0</v>
      </c>
      <c r="S147" s="243">
        <f t="shared" si="46"/>
        <v>0</v>
      </c>
      <c r="T147" s="243">
        <f t="shared" si="46"/>
        <v>0</v>
      </c>
      <c r="U147" s="243">
        <f t="shared" si="46"/>
        <v>0</v>
      </c>
      <c r="V147" s="243">
        <f t="shared" si="46"/>
        <v>17550000</v>
      </c>
      <c r="W147" s="243">
        <f>V147/J147*100</f>
        <v>100</v>
      </c>
      <c r="X147" s="243">
        <f t="shared" si="46"/>
        <v>0</v>
      </c>
      <c r="Y147" s="51"/>
      <c r="Z147" s="45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s="25" customFormat="1" ht="13.5">
      <c r="A148" s="84"/>
      <c r="B148" s="247" t="s">
        <v>278</v>
      </c>
      <c r="C148" s="87" t="s">
        <v>135</v>
      </c>
      <c r="D148" s="84" t="s">
        <v>76</v>
      </c>
      <c r="E148" s="84" t="s">
        <v>306</v>
      </c>
      <c r="F148" s="84" t="s">
        <v>75</v>
      </c>
      <c r="G148" s="9" t="s">
        <v>28</v>
      </c>
      <c r="H148" s="5" t="s">
        <v>5</v>
      </c>
      <c r="I148" s="84"/>
      <c r="J148" s="248">
        <v>1400000</v>
      </c>
      <c r="K148" s="39"/>
      <c r="L148" s="39"/>
      <c r="M148" s="7" t="s">
        <v>221</v>
      </c>
      <c r="N148" s="88">
        <v>1400000</v>
      </c>
      <c r="O148" s="243">
        <f t="shared" si="42"/>
        <v>100</v>
      </c>
      <c r="P148" s="91" t="s">
        <v>141</v>
      </c>
      <c r="Q148" s="91" t="s">
        <v>141</v>
      </c>
      <c r="R148" s="88"/>
      <c r="S148" s="88"/>
      <c r="T148" s="88">
        <f t="shared" si="43"/>
        <v>0</v>
      </c>
      <c r="U148" s="39"/>
      <c r="V148" s="8">
        <f t="shared" si="44"/>
        <v>1400000</v>
      </c>
      <c r="W148" s="39">
        <f t="shared" si="45"/>
        <v>100</v>
      </c>
      <c r="X148" s="39"/>
      <c r="Y148" s="166"/>
      <c r="Z148" s="46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25" customFormat="1" ht="13.5">
      <c r="A149" s="84"/>
      <c r="B149" s="247" t="s">
        <v>279</v>
      </c>
      <c r="C149" s="87" t="s">
        <v>290</v>
      </c>
      <c r="D149" s="84" t="s">
        <v>76</v>
      </c>
      <c r="E149" s="84" t="s">
        <v>306</v>
      </c>
      <c r="F149" s="84" t="s">
        <v>75</v>
      </c>
      <c r="G149" s="9" t="s">
        <v>28</v>
      </c>
      <c r="H149" s="5" t="s">
        <v>5</v>
      </c>
      <c r="I149" s="84"/>
      <c r="J149" s="248">
        <v>450000</v>
      </c>
      <c r="K149" s="39"/>
      <c r="L149" s="39"/>
      <c r="M149" s="7" t="s">
        <v>221</v>
      </c>
      <c r="N149" s="88">
        <v>450000</v>
      </c>
      <c r="O149" s="243">
        <f t="shared" si="42"/>
        <v>100</v>
      </c>
      <c r="P149" s="91" t="s">
        <v>141</v>
      </c>
      <c r="Q149" s="91" t="s">
        <v>141</v>
      </c>
      <c r="R149" s="88"/>
      <c r="S149" s="88"/>
      <c r="T149" s="88">
        <f t="shared" si="43"/>
        <v>0</v>
      </c>
      <c r="U149" s="39"/>
      <c r="V149" s="8">
        <f t="shared" si="44"/>
        <v>450000</v>
      </c>
      <c r="W149" s="39">
        <f t="shared" si="45"/>
        <v>100</v>
      </c>
      <c r="X149" s="39"/>
      <c r="Y149" s="166"/>
      <c r="Z149" s="46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25" customFormat="1" ht="13.5">
      <c r="A150" s="84"/>
      <c r="B150" s="247" t="s">
        <v>81</v>
      </c>
      <c r="C150" s="87" t="s">
        <v>137</v>
      </c>
      <c r="D150" s="84" t="s">
        <v>76</v>
      </c>
      <c r="E150" s="84" t="s">
        <v>306</v>
      </c>
      <c r="F150" s="84" t="s">
        <v>75</v>
      </c>
      <c r="G150" s="9" t="s">
        <v>28</v>
      </c>
      <c r="H150" s="5" t="s">
        <v>5</v>
      </c>
      <c r="I150" s="84"/>
      <c r="J150" s="248">
        <v>3000000</v>
      </c>
      <c r="K150" s="39"/>
      <c r="L150" s="39"/>
      <c r="M150" s="7" t="s">
        <v>299</v>
      </c>
      <c r="N150" s="88">
        <v>3000000</v>
      </c>
      <c r="O150" s="243">
        <f t="shared" si="42"/>
        <v>100</v>
      </c>
      <c r="P150" s="91" t="s">
        <v>141</v>
      </c>
      <c r="Q150" s="91" t="s">
        <v>141</v>
      </c>
      <c r="R150" s="88"/>
      <c r="S150" s="88"/>
      <c r="T150" s="88">
        <f t="shared" si="43"/>
        <v>0</v>
      </c>
      <c r="U150" s="39"/>
      <c r="V150" s="8">
        <f t="shared" si="44"/>
        <v>3000000</v>
      </c>
      <c r="W150" s="39">
        <f t="shared" si="45"/>
        <v>100</v>
      </c>
      <c r="X150" s="39"/>
      <c r="Y150" s="166"/>
      <c r="Z150" s="46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25" customFormat="1" ht="13.5">
      <c r="A151" s="84"/>
      <c r="B151" s="247" t="s">
        <v>280</v>
      </c>
      <c r="C151" s="87" t="s">
        <v>291</v>
      </c>
      <c r="D151" s="84" t="s">
        <v>76</v>
      </c>
      <c r="E151" s="84" t="s">
        <v>306</v>
      </c>
      <c r="F151" s="84" t="s">
        <v>75</v>
      </c>
      <c r="G151" s="9" t="s">
        <v>28</v>
      </c>
      <c r="H151" s="5" t="s">
        <v>5</v>
      </c>
      <c r="I151" s="84"/>
      <c r="J151" s="248">
        <v>10100000</v>
      </c>
      <c r="K151" s="39"/>
      <c r="L151" s="39"/>
      <c r="M151" s="7" t="s">
        <v>299</v>
      </c>
      <c r="N151" s="88">
        <v>10100000</v>
      </c>
      <c r="O151" s="243">
        <f t="shared" si="42"/>
        <v>100</v>
      </c>
      <c r="P151" s="91" t="s">
        <v>141</v>
      </c>
      <c r="Q151" s="91" t="s">
        <v>141</v>
      </c>
      <c r="R151" s="88"/>
      <c r="S151" s="88"/>
      <c r="T151" s="88">
        <f t="shared" si="43"/>
        <v>0</v>
      </c>
      <c r="U151" s="39"/>
      <c r="V151" s="8">
        <f t="shared" si="44"/>
        <v>10100000</v>
      </c>
      <c r="W151" s="39">
        <f t="shared" si="45"/>
        <v>100</v>
      </c>
      <c r="X151" s="39"/>
      <c r="Y151" s="166"/>
      <c r="Z151" s="46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25" customFormat="1" ht="13.5">
      <c r="A152" s="84"/>
      <c r="B152" s="247" t="s">
        <v>281</v>
      </c>
      <c r="C152" s="87" t="s">
        <v>292</v>
      </c>
      <c r="D152" s="84" t="s">
        <v>76</v>
      </c>
      <c r="E152" s="84" t="s">
        <v>306</v>
      </c>
      <c r="F152" s="84" t="s">
        <v>75</v>
      </c>
      <c r="G152" s="9" t="s">
        <v>28</v>
      </c>
      <c r="H152" s="5" t="s">
        <v>5</v>
      </c>
      <c r="I152" s="84"/>
      <c r="J152" s="248">
        <v>2600000</v>
      </c>
      <c r="K152" s="39"/>
      <c r="L152" s="39"/>
      <c r="M152" s="7" t="s">
        <v>299</v>
      </c>
      <c r="N152" s="88">
        <v>2600000</v>
      </c>
      <c r="O152" s="243">
        <f t="shared" si="42"/>
        <v>100</v>
      </c>
      <c r="P152" s="91" t="s">
        <v>141</v>
      </c>
      <c r="Q152" s="91" t="s">
        <v>141</v>
      </c>
      <c r="R152" s="88"/>
      <c r="S152" s="88"/>
      <c r="T152" s="88">
        <f t="shared" si="43"/>
        <v>0</v>
      </c>
      <c r="U152" s="39"/>
      <c r="V152" s="8">
        <f t="shared" si="44"/>
        <v>2600000</v>
      </c>
      <c r="W152" s="39">
        <f t="shared" si="45"/>
        <v>100</v>
      </c>
      <c r="X152" s="39"/>
      <c r="Y152" s="166"/>
      <c r="Z152" s="46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26" customFormat="1" ht="13.5">
      <c r="A153" s="107"/>
      <c r="B153" s="242" t="s">
        <v>92</v>
      </c>
      <c r="C153" s="218" t="s">
        <v>117</v>
      </c>
      <c r="D153" s="219" t="s">
        <v>76</v>
      </c>
      <c r="E153" s="219" t="s">
        <v>306</v>
      </c>
      <c r="F153" s="219" t="s">
        <v>75</v>
      </c>
      <c r="G153" s="206" t="s">
        <v>28</v>
      </c>
      <c r="H153" s="207" t="s">
        <v>5</v>
      </c>
      <c r="I153" s="219"/>
      <c r="J153" s="273">
        <f>J154</f>
        <v>1560000</v>
      </c>
      <c r="K153" s="243"/>
      <c r="L153" s="243"/>
      <c r="M153" s="274"/>
      <c r="N153" s="243">
        <f aca="true" t="shared" si="47" ref="N153:X153">N154</f>
        <v>1560000</v>
      </c>
      <c r="O153" s="243">
        <f t="shared" si="42"/>
        <v>100</v>
      </c>
      <c r="P153" s="243"/>
      <c r="Q153" s="243"/>
      <c r="R153" s="243">
        <f t="shared" si="47"/>
        <v>0</v>
      </c>
      <c r="S153" s="243">
        <f t="shared" si="47"/>
        <v>0</v>
      </c>
      <c r="T153" s="243">
        <f t="shared" si="47"/>
        <v>0</v>
      </c>
      <c r="U153" s="243">
        <f t="shared" si="47"/>
        <v>0</v>
      </c>
      <c r="V153" s="243">
        <f t="shared" si="47"/>
        <v>1560000</v>
      </c>
      <c r="W153" s="243">
        <f t="shared" si="47"/>
        <v>100</v>
      </c>
      <c r="X153" s="243">
        <f t="shared" si="47"/>
        <v>0</v>
      </c>
      <c r="Y153" s="51"/>
      <c r="Z153" s="45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s="25" customFormat="1" ht="27">
      <c r="A154" s="84"/>
      <c r="B154" s="247" t="s">
        <v>193</v>
      </c>
      <c r="C154" s="87" t="s">
        <v>118</v>
      </c>
      <c r="D154" s="84" t="s">
        <v>76</v>
      </c>
      <c r="E154" s="84" t="s">
        <v>306</v>
      </c>
      <c r="F154" s="84" t="s">
        <v>75</v>
      </c>
      <c r="G154" s="9" t="s">
        <v>28</v>
      </c>
      <c r="H154" s="5" t="s">
        <v>5</v>
      </c>
      <c r="I154" s="84"/>
      <c r="J154" s="248">
        <v>1560000</v>
      </c>
      <c r="K154" s="39"/>
      <c r="L154" s="39"/>
      <c r="M154" s="7" t="s">
        <v>221</v>
      </c>
      <c r="N154" s="88">
        <v>1560000</v>
      </c>
      <c r="O154" s="243">
        <f t="shared" si="42"/>
        <v>100</v>
      </c>
      <c r="P154" s="91" t="s">
        <v>141</v>
      </c>
      <c r="Q154" s="91" t="s">
        <v>141</v>
      </c>
      <c r="R154" s="88"/>
      <c r="S154" s="88"/>
      <c r="T154" s="88">
        <f t="shared" si="43"/>
        <v>0</v>
      </c>
      <c r="U154" s="39"/>
      <c r="V154" s="8">
        <f t="shared" si="44"/>
        <v>1560000</v>
      </c>
      <c r="W154" s="39">
        <f t="shared" si="45"/>
        <v>100</v>
      </c>
      <c r="X154" s="39"/>
      <c r="Y154" s="166"/>
      <c r="Z154" s="46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26" customFormat="1" ht="27">
      <c r="A155" s="107"/>
      <c r="B155" s="242" t="s">
        <v>282</v>
      </c>
      <c r="C155" s="108" t="s">
        <v>293</v>
      </c>
      <c r="D155" s="107" t="s">
        <v>76</v>
      </c>
      <c r="E155" s="107" t="s">
        <v>306</v>
      </c>
      <c r="F155" s="107" t="s">
        <v>75</v>
      </c>
      <c r="G155" s="10" t="s">
        <v>28</v>
      </c>
      <c r="H155" s="102" t="s">
        <v>5</v>
      </c>
      <c r="I155" s="107"/>
      <c r="J155" s="243">
        <f>J156</f>
        <v>12000000</v>
      </c>
      <c r="K155" s="243">
        <f aca="true" t="shared" si="48" ref="K155:X155">K156</f>
        <v>0</v>
      </c>
      <c r="L155" s="243">
        <f t="shared" si="48"/>
        <v>0</v>
      </c>
      <c r="M155" s="243"/>
      <c r="N155" s="243">
        <f t="shared" si="48"/>
        <v>12000000</v>
      </c>
      <c r="O155" s="243">
        <f t="shared" si="42"/>
        <v>100</v>
      </c>
      <c r="P155" s="243"/>
      <c r="Q155" s="243"/>
      <c r="R155" s="243">
        <f t="shared" si="48"/>
        <v>0</v>
      </c>
      <c r="S155" s="243">
        <f t="shared" si="48"/>
        <v>0</v>
      </c>
      <c r="T155" s="243">
        <f t="shared" si="48"/>
        <v>0</v>
      </c>
      <c r="U155" s="243">
        <f t="shared" si="48"/>
        <v>0</v>
      </c>
      <c r="V155" s="243">
        <f t="shared" si="48"/>
        <v>12000000</v>
      </c>
      <c r="W155" s="243">
        <f t="shared" si="48"/>
        <v>100</v>
      </c>
      <c r="X155" s="243">
        <f t="shared" si="48"/>
        <v>0</v>
      </c>
      <c r="Y155" s="51"/>
      <c r="Z155" s="45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s="25" customFormat="1" ht="13.5">
      <c r="A156" s="84"/>
      <c r="B156" s="247" t="s">
        <v>283</v>
      </c>
      <c r="C156" s="87" t="s">
        <v>294</v>
      </c>
      <c r="D156" s="84" t="s">
        <v>76</v>
      </c>
      <c r="E156" s="84" t="s">
        <v>306</v>
      </c>
      <c r="F156" s="84" t="s">
        <v>75</v>
      </c>
      <c r="G156" s="9" t="s">
        <v>28</v>
      </c>
      <c r="H156" s="5" t="s">
        <v>5</v>
      </c>
      <c r="I156" s="84"/>
      <c r="J156" s="248">
        <v>12000000</v>
      </c>
      <c r="K156" s="39"/>
      <c r="L156" s="39"/>
      <c r="M156" s="7" t="s">
        <v>221</v>
      </c>
      <c r="N156" s="88">
        <v>12000000</v>
      </c>
      <c r="O156" s="243">
        <f t="shared" si="42"/>
        <v>100</v>
      </c>
      <c r="P156" s="91" t="s">
        <v>141</v>
      </c>
      <c r="Q156" s="91" t="s">
        <v>141</v>
      </c>
      <c r="R156" s="88"/>
      <c r="S156" s="88"/>
      <c r="T156" s="88">
        <f t="shared" si="43"/>
        <v>0</v>
      </c>
      <c r="U156" s="39"/>
      <c r="V156" s="8">
        <f t="shared" si="44"/>
        <v>12000000</v>
      </c>
      <c r="W156" s="39">
        <f t="shared" si="45"/>
        <v>100</v>
      </c>
      <c r="X156" s="39"/>
      <c r="Y156" s="166"/>
      <c r="Z156" s="46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s="26" customFormat="1" ht="13.5">
      <c r="A157" s="107"/>
      <c r="B157" s="242" t="s">
        <v>259</v>
      </c>
      <c r="C157" s="108" t="s">
        <v>132</v>
      </c>
      <c r="D157" s="107" t="s">
        <v>76</v>
      </c>
      <c r="E157" s="107" t="s">
        <v>306</v>
      </c>
      <c r="F157" s="107" t="s">
        <v>75</v>
      </c>
      <c r="G157" s="10" t="s">
        <v>28</v>
      </c>
      <c r="H157" s="102" t="s">
        <v>5</v>
      </c>
      <c r="I157" s="107"/>
      <c r="J157" s="243">
        <f>J158</f>
        <v>32400000</v>
      </c>
      <c r="K157" s="243">
        <f aca="true" t="shared" si="49" ref="K157:X157">K158</f>
        <v>0</v>
      </c>
      <c r="L157" s="243">
        <f t="shared" si="49"/>
        <v>0</v>
      </c>
      <c r="M157" s="243"/>
      <c r="N157" s="243">
        <f t="shared" si="49"/>
        <v>32400000</v>
      </c>
      <c r="O157" s="243">
        <f t="shared" si="42"/>
        <v>100</v>
      </c>
      <c r="P157" s="243"/>
      <c r="Q157" s="243"/>
      <c r="R157" s="243">
        <f t="shared" si="49"/>
        <v>0</v>
      </c>
      <c r="S157" s="243">
        <f t="shared" si="49"/>
        <v>0</v>
      </c>
      <c r="T157" s="243">
        <f t="shared" si="49"/>
        <v>0</v>
      </c>
      <c r="U157" s="243">
        <f t="shared" si="49"/>
        <v>0</v>
      </c>
      <c r="V157" s="243">
        <f t="shared" si="49"/>
        <v>32400000</v>
      </c>
      <c r="W157" s="243">
        <f t="shared" si="49"/>
        <v>100</v>
      </c>
      <c r="X157" s="243">
        <f t="shared" si="49"/>
        <v>0</v>
      </c>
      <c r="Y157" s="51"/>
      <c r="Z157" s="45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s="25" customFormat="1" ht="13.5">
      <c r="A158" s="84"/>
      <c r="B158" s="247" t="s">
        <v>284</v>
      </c>
      <c r="C158" s="87" t="s">
        <v>138</v>
      </c>
      <c r="D158" s="84" t="s">
        <v>76</v>
      </c>
      <c r="E158" s="84" t="s">
        <v>306</v>
      </c>
      <c r="F158" s="84" t="s">
        <v>75</v>
      </c>
      <c r="G158" s="9" t="s">
        <v>28</v>
      </c>
      <c r="H158" s="5" t="s">
        <v>5</v>
      </c>
      <c r="I158" s="84"/>
      <c r="J158" s="248">
        <v>32400000</v>
      </c>
      <c r="K158" s="39"/>
      <c r="L158" s="39"/>
      <c r="M158" s="7" t="s">
        <v>299</v>
      </c>
      <c r="N158" s="88">
        <v>32400000</v>
      </c>
      <c r="O158" s="243">
        <f t="shared" si="42"/>
        <v>100</v>
      </c>
      <c r="P158" s="91" t="s">
        <v>141</v>
      </c>
      <c r="Q158" s="91" t="s">
        <v>141</v>
      </c>
      <c r="R158" s="88"/>
      <c r="S158" s="88"/>
      <c r="T158" s="88">
        <f t="shared" si="43"/>
        <v>0</v>
      </c>
      <c r="U158" s="39"/>
      <c r="V158" s="8">
        <f t="shared" si="44"/>
        <v>32400000</v>
      </c>
      <c r="W158" s="39">
        <f t="shared" si="45"/>
        <v>100</v>
      </c>
      <c r="X158" s="39"/>
      <c r="Y158" s="166"/>
      <c r="Z158" s="46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s="26" customFormat="1" ht="13.5">
      <c r="A159" s="107"/>
      <c r="B159" s="242" t="s">
        <v>285</v>
      </c>
      <c r="C159" s="108" t="s">
        <v>295</v>
      </c>
      <c r="D159" s="107" t="s">
        <v>76</v>
      </c>
      <c r="E159" s="107" t="s">
        <v>306</v>
      </c>
      <c r="F159" s="107" t="s">
        <v>75</v>
      </c>
      <c r="G159" s="10" t="s">
        <v>28</v>
      </c>
      <c r="H159" s="102" t="s">
        <v>5</v>
      </c>
      <c r="I159" s="107"/>
      <c r="J159" s="243">
        <f>J160</f>
        <v>1500000</v>
      </c>
      <c r="K159" s="243">
        <f aca="true" t="shared" si="50" ref="K159:X159">K160</f>
        <v>0</v>
      </c>
      <c r="L159" s="243">
        <f t="shared" si="50"/>
        <v>0</v>
      </c>
      <c r="M159" s="243"/>
      <c r="N159" s="243">
        <f t="shared" si="50"/>
        <v>1500000</v>
      </c>
      <c r="O159" s="243">
        <f t="shared" si="42"/>
        <v>100</v>
      </c>
      <c r="P159" s="243"/>
      <c r="Q159" s="243"/>
      <c r="R159" s="243">
        <f t="shared" si="50"/>
        <v>0</v>
      </c>
      <c r="S159" s="243">
        <f t="shared" si="50"/>
        <v>0</v>
      </c>
      <c r="T159" s="243">
        <f t="shared" si="50"/>
        <v>0</v>
      </c>
      <c r="U159" s="243">
        <f t="shared" si="50"/>
        <v>0</v>
      </c>
      <c r="V159" s="243">
        <f t="shared" si="50"/>
        <v>1500000</v>
      </c>
      <c r="W159" s="243">
        <f t="shared" si="50"/>
        <v>100</v>
      </c>
      <c r="X159" s="243">
        <f t="shared" si="50"/>
        <v>0</v>
      </c>
      <c r="Y159" s="51"/>
      <c r="Z159" s="45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s="25" customFormat="1" ht="13.5">
      <c r="A160" s="84"/>
      <c r="B160" s="247" t="s">
        <v>286</v>
      </c>
      <c r="C160" s="87" t="s">
        <v>296</v>
      </c>
      <c r="D160" s="84" t="s">
        <v>76</v>
      </c>
      <c r="E160" s="84" t="s">
        <v>306</v>
      </c>
      <c r="F160" s="84" t="s">
        <v>75</v>
      </c>
      <c r="G160" s="9" t="s">
        <v>28</v>
      </c>
      <c r="H160" s="5" t="s">
        <v>5</v>
      </c>
      <c r="I160" s="84"/>
      <c r="J160" s="248">
        <v>1500000</v>
      </c>
      <c r="K160" s="39"/>
      <c r="L160" s="39"/>
      <c r="M160" s="7" t="s">
        <v>299</v>
      </c>
      <c r="N160" s="88">
        <v>1500000</v>
      </c>
      <c r="O160" s="243">
        <f t="shared" si="42"/>
        <v>100</v>
      </c>
      <c r="P160" s="91" t="s">
        <v>141</v>
      </c>
      <c r="Q160" s="91" t="s">
        <v>141</v>
      </c>
      <c r="R160" s="88"/>
      <c r="S160" s="88"/>
      <c r="T160" s="88">
        <f t="shared" si="43"/>
        <v>0</v>
      </c>
      <c r="U160" s="39"/>
      <c r="V160" s="8">
        <f t="shared" si="44"/>
        <v>1500000</v>
      </c>
      <c r="W160" s="39">
        <f t="shared" si="45"/>
        <v>100</v>
      </c>
      <c r="X160" s="39"/>
      <c r="Y160" s="166"/>
      <c r="Z160" s="46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s="25" customFormat="1" ht="13.5">
      <c r="A161" s="216"/>
      <c r="B161" s="271" t="s">
        <v>264</v>
      </c>
      <c r="C161" s="217"/>
      <c r="D161" s="216" t="s">
        <v>76</v>
      </c>
      <c r="E161" s="216" t="s">
        <v>306</v>
      </c>
      <c r="F161" s="216" t="s">
        <v>75</v>
      </c>
      <c r="G161" s="217" t="s">
        <v>28</v>
      </c>
      <c r="H161" s="216" t="s">
        <v>5</v>
      </c>
      <c r="I161" s="216"/>
      <c r="J161" s="239">
        <f>J162</f>
        <v>71250000</v>
      </c>
      <c r="K161" s="239">
        <f aca="true" t="shared" si="51" ref="K161:X162">K162</f>
        <v>0</v>
      </c>
      <c r="L161" s="239">
        <f t="shared" si="51"/>
        <v>0</v>
      </c>
      <c r="M161" s="239"/>
      <c r="N161" s="239">
        <f t="shared" si="51"/>
        <v>71250000</v>
      </c>
      <c r="O161" s="239">
        <f t="shared" si="42"/>
        <v>100</v>
      </c>
      <c r="P161" s="239"/>
      <c r="Q161" s="239"/>
      <c r="R161" s="239">
        <f t="shared" si="51"/>
        <v>0</v>
      </c>
      <c r="S161" s="239">
        <f t="shared" si="51"/>
        <v>0</v>
      </c>
      <c r="T161" s="239">
        <f t="shared" si="51"/>
        <v>0</v>
      </c>
      <c r="U161" s="239">
        <f t="shared" si="51"/>
        <v>0</v>
      </c>
      <c r="V161" s="239">
        <f t="shared" si="51"/>
        <v>71250000</v>
      </c>
      <c r="W161" s="239">
        <f t="shared" si="51"/>
        <v>100</v>
      </c>
      <c r="X161" s="239">
        <f t="shared" si="51"/>
        <v>0</v>
      </c>
      <c r="Y161" s="166"/>
      <c r="Z161" s="46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s="26" customFormat="1" ht="13.5">
      <c r="A162" s="107"/>
      <c r="B162" s="242" t="s">
        <v>287</v>
      </c>
      <c r="C162" s="108" t="s">
        <v>297</v>
      </c>
      <c r="D162" s="107" t="s">
        <v>76</v>
      </c>
      <c r="E162" s="107" t="s">
        <v>306</v>
      </c>
      <c r="F162" s="107" t="s">
        <v>75</v>
      </c>
      <c r="G162" s="10" t="s">
        <v>28</v>
      </c>
      <c r="H162" s="102" t="s">
        <v>5</v>
      </c>
      <c r="I162" s="107"/>
      <c r="J162" s="243">
        <f>J163</f>
        <v>71250000</v>
      </c>
      <c r="K162" s="243">
        <f t="shared" si="51"/>
        <v>0</v>
      </c>
      <c r="L162" s="243">
        <f t="shared" si="51"/>
        <v>0</v>
      </c>
      <c r="M162" s="243"/>
      <c r="N162" s="243">
        <f t="shared" si="51"/>
        <v>71250000</v>
      </c>
      <c r="O162" s="243">
        <f t="shared" si="42"/>
        <v>100</v>
      </c>
      <c r="P162" s="243"/>
      <c r="Q162" s="243"/>
      <c r="R162" s="243">
        <f t="shared" si="51"/>
        <v>0</v>
      </c>
      <c r="S162" s="243">
        <f t="shared" si="51"/>
        <v>0</v>
      </c>
      <c r="T162" s="243">
        <f t="shared" si="51"/>
        <v>0</v>
      </c>
      <c r="U162" s="243">
        <f t="shared" si="51"/>
        <v>0</v>
      </c>
      <c r="V162" s="243">
        <f t="shared" si="51"/>
        <v>71250000</v>
      </c>
      <c r="W162" s="243">
        <f t="shared" si="51"/>
        <v>100</v>
      </c>
      <c r="X162" s="243">
        <f t="shared" si="51"/>
        <v>0</v>
      </c>
      <c r="Y162" s="51"/>
      <c r="Z162" s="45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s="25" customFormat="1" ht="13.5">
      <c r="A163" s="84"/>
      <c r="B163" s="247" t="s">
        <v>288</v>
      </c>
      <c r="C163" s="87" t="s">
        <v>298</v>
      </c>
      <c r="D163" s="84" t="s">
        <v>76</v>
      </c>
      <c r="E163" s="84" t="s">
        <v>306</v>
      </c>
      <c r="F163" s="84" t="s">
        <v>75</v>
      </c>
      <c r="G163" s="9" t="s">
        <v>28</v>
      </c>
      <c r="H163" s="5" t="s">
        <v>5</v>
      </c>
      <c r="I163" s="84"/>
      <c r="J163" s="248">
        <v>71250000</v>
      </c>
      <c r="K163" s="39"/>
      <c r="L163" s="39"/>
      <c r="M163" s="7" t="s">
        <v>221</v>
      </c>
      <c r="N163" s="88">
        <v>71250000</v>
      </c>
      <c r="O163" s="243">
        <f t="shared" si="42"/>
        <v>100</v>
      </c>
      <c r="P163" s="91" t="s">
        <v>141</v>
      </c>
      <c r="Q163" s="91" t="s">
        <v>141</v>
      </c>
      <c r="R163" s="88"/>
      <c r="S163" s="88"/>
      <c r="T163" s="88">
        <f t="shared" si="43"/>
        <v>0</v>
      </c>
      <c r="U163" s="39"/>
      <c r="V163" s="8">
        <f t="shared" si="44"/>
        <v>71250000</v>
      </c>
      <c r="W163" s="39">
        <f t="shared" si="45"/>
        <v>100</v>
      </c>
      <c r="X163" s="39"/>
      <c r="Y163" s="166"/>
      <c r="Z163" s="46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s="26" customFormat="1" ht="13.5" customHeight="1" thickBot="1">
      <c r="A164" s="100"/>
      <c r="B164" s="99" t="s">
        <v>7</v>
      </c>
      <c r="C164" s="100"/>
      <c r="D164" s="100"/>
      <c r="E164" s="172"/>
      <c r="F164" s="172"/>
      <c r="G164" s="172"/>
      <c r="H164" s="172"/>
      <c r="I164" s="172"/>
      <c r="J164" s="101">
        <f>J11</f>
        <v>11246303956</v>
      </c>
      <c r="K164" s="101"/>
      <c r="L164" s="101"/>
      <c r="M164" s="101"/>
      <c r="N164" s="101">
        <f aca="true" t="shared" si="52" ref="N164:W164">N11</f>
        <v>3145006730</v>
      </c>
      <c r="O164" s="101"/>
      <c r="P164" s="101"/>
      <c r="Q164" s="101"/>
      <c r="R164" s="101">
        <f t="shared" si="52"/>
        <v>566327867</v>
      </c>
      <c r="S164" s="101">
        <f t="shared" si="52"/>
        <v>106094632</v>
      </c>
      <c r="T164" s="101">
        <f t="shared" si="52"/>
        <v>672422499</v>
      </c>
      <c r="U164" s="101"/>
      <c r="V164" s="101">
        <f>V11</f>
        <v>10573881457</v>
      </c>
      <c r="W164" s="101">
        <f t="shared" si="52"/>
        <v>94.02094677833016</v>
      </c>
      <c r="X164" s="101"/>
      <c r="Y164" s="52"/>
      <c r="Z164" s="46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s="26" customFormat="1" ht="13.5" customHeight="1" thickTop="1">
      <c r="A165" s="93" t="s">
        <v>154</v>
      </c>
      <c r="B165" s="93"/>
      <c r="C165" s="13"/>
      <c r="D165" s="13"/>
      <c r="E165" s="14"/>
      <c r="F165" s="14"/>
      <c r="G165" s="14"/>
      <c r="H165" s="14"/>
      <c r="I165" s="14"/>
      <c r="J165" s="15"/>
      <c r="K165" s="16"/>
      <c r="L165" s="16"/>
      <c r="M165" s="154"/>
      <c r="N165" s="113"/>
      <c r="O165" s="201"/>
      <c r="P165" s="18"/>
      <c r="Q165" s="18"/>
      <c r="R165" s="113"/>
      <c r="S165" s="280"/>
      <c r="T165" s="281"/>
      <c r="U165" s="201"/>
      <c r="V165" s="19"/>
      <c r="W165" s="192"/>
      <c r="X165" s="16"/>
      <c r="Y165" s="41"/>
      <c r="Z165" s="45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s="25" customFormat="1" ht="13.5">
      <c r="A166" s="21"/>
      <c r="B166" s="22" t="s">
        <v>22</v>
      </c>
      <c r="C166" s="22"/>
      <c r="D166" s="22"/>
      <c r="E166" s="22"/>
      <c r="F166" s="22"/>
      <c r="G166" s="22"/>
      <c r="H166" s="22"/>
      <c r="I166" s="22"/>
      <c r="J166" s="180"/>
      <c r="K166" s="21"/>
      <c r="L166" s="20"/>
      <c r="M166" s="154"/>
      <c r="N166" s="114"/>
      <c r="O166" s="21"/>
      <c r="P166" s="171"/>
      <c r="Q166" s="171"/>
      <c r="R166" s="361" t="s">
        <v>311</v>
      </c>
      <c r="S166" s="361"/>
      <c r="T166" s="361"/>
      <c r="U166" s="361"/>
      <c r="V166" s="361"/>
      <c r="W166" s="361"/>
      <c r="X166" s="21"/>
      <c r="Y166" s="38"/>
      <c r="Z166" s="46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s="25" customFormat="1" ht="13.5">
      <c r="A167" s="21"/>
      <c r="B167" s="22" t="s">
        <v>304</v>
      </c>
      <c r="C167" s="22"/>
      <c r="D167" s="22"/>
      <c r="E167" s="22"/>
      <c r="F167" s="22"/>
      <c r="G167" s="22"/>
      <c r="H167" s="22"/>
      <c r="I167" s="22"/>
      <c r="J167" s="22"/>
      <c r="K167" s="21"/>
      <c r="L167" s="20"/>
      <c r="M167" s="155"/>
      <c r="N167" s="115"/>
      <c r="O167" s="21"/>
      <c r="P167" s="171"/>
      <c r="Q167" s="171"/>
      <c r="R167" s="282"/>
      <c r="S167" s="282"/>
      <c r="T167" s="283"/>
      <c r="U167" s="21"/>
      <c r="V167" s="21"/>
      <c r="W167" s="21"/>
      <c r="X167" s="21"/>
      <c r="Y167" s="38"/>
      <c r="Z167" s="46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s="25" customFormat="1" ht="13.5">
      <c r="A168" s="21"/>
      <c r="B168" s="22" t="s">
        <v>8</v>
      </c>
      <c r="C168" s="22"/>
      <c r="D168" s="22"/>
      <c r="E168" s="22"/>
      <c r="F168" s="22"/>
      <c r="G168" s="22"/>
      <c r="H168" s="22"/>
      <c r="I168" s="22"/>
      <c r="J168" s="22"/>
      <c r="K168" s="21"/>
      <c r="L168" s="20"/>
      <c r="M168" s="155"/>
      <c r="N168" s="115"/>
      <c r="O168" s="21"/>
      <c r="P168" s="171"/>
      <c r="Q168" s="171"/>
      <c r="R168" s="361" t="s">
        <v>9</v>
      </c>
      <c r="S168" s="361"/>
      <c r="T168" s="361"/>
      <c r="U168" s="361"/>
      <c r="V168" s="361"/>
      <c r="W168" s="361"/>
      <c r="X168" s="21"/>
      <c r="Y168" s="38"/>
      <c r="Z168" s="46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s="25" customFormat="1" ht="13.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1"/>
      <c r="L169" s="20"/>
      <c r="M169" s="155"/>
      <c r="N169" s="115"/>
      <c r="O169" s="21"/>
      <c r="P169" s="171"/>
      <c r="Q169" s="171"/>
      <c r="R169" s="283"/>
      <c r="S169" s="283"/>
      <c r="T169" s="283"/>
      <c r="U169" s="21"/>
      <c r="V169" s="22"/>
      <c r="W169" s="21"/>
      <c r="X169" s="21"/>
      <c r="Y169" s="38"/>
      <c r="Z169" s="46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s="25" customFormat="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155"/>
      <c r="N170" s="116"/>
      <c r="O170" s="21"/>
      <c r="P170" s="171" t="s">
        <v>39</v>
      </c>
      <c r="Q170" s="171"/>
      <c r="R170" s="282"/>
      <c r="S170" s="282"/>
      <c r="T170" s="283"/>
      <c r="U170" s="21"/>
      <c r="V170" s="21"/>
      <c r="W170" s="21"/>
      <c r="X170" s="21"/>
      <c r="Y170" s="38"/>
      <c r="Z170" s="46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s="25" customFormat="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155"/>
      <c r="N171" s="115"/>
      <c r="O171" s="21"/>
      <c r="P171" s="171"/>
      <c r="Q171" s="171"/>
      <c r="R171" s="282"/>
      <c r="S171" s="282"/>
      <c r="T171" s="283"/>
      <c r="U171" s="21"/>
      <c r="V171" s="21"/>
      <c r="W171" s="21"/>
      <c r="X171" s="21"/>
      <c r="Y171" s="38"/>
      <c r="Z171" s="46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s="25" customFormat="1" ht="12" customHeight="1">
      <c r="A172" s="21"/>
      <c r="B172" s="92" t="s">
        <v>156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155"/>
      <c r="N172" s="115"/>
      <c r="O172" s="21"/>
      <c r="P172" s="171"/>
      <c r="Q172" s="171"/>
      <c r="R172" s="282"/>
      <c r="S172" s="282"/>
      <c r="T172" s="283"/>
      <c r="U172" s="21"/>
      <c r="V172" s="21"/>
      <c r="W172" s="21"/>
      <c r="X172" s="21"/>
      <c r="Y172" s="38"/>
      <c r="Z172" s="46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s="25" customFormat="1" ht="13.5">
      <c r="A173" s="21"/>
      <c r="B173" s="4" t="s">
        <v>157</v>
      </c>
      <c r="C173" s="92"/>
      <c r="D173" s="92"/>
      <c r="E173" s="92"/>
      <c r="F173" s="92"/>
      <c r="G173" s="92"/>
      <c r="H173" s="92"/>
      <c r="I173" s="92"/>
      <c r="J173" s="92"/>
      <c r="K173" s="21"/>
      <c r="L173" s="20"/>
      <c r="M173" s="155"/>
      <c r="N173" s="115"/>
      <c r="O173" s="21"/>
      <c r="P173" s="171"/>
      <c r="Q173" s="171"/>
      <c r="R173" s="359" t="s">
        <v>155</v>
      </c>
      <c r="S173" s="359"/>
      <c r="T173" s="359"/>
      <c r="U173" s="359"/>
      <c r="V173" s="359"/>
      <c r="W173" s="359"/>
      <c r="X173" s="23"/>
      <c r="Y173" s="38"/>
      <c r="Z173" s="46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s="25" customFormat="1" ht="12.75" customHeight="1">
      <c r="A174" s="21"/>
      <c r="C174" s="4"/>
      <c r="D174" s="4"/>
      <c r="E174" s="4"/>
      <c r="F174" s="4"/>
      <c r="G174" s="4"/>
      <c r="H174" s="4"/>
      <c r="I174" s="4"/>
      <c r="J174" s="4"/>
      <c r="K174" s="21"/>
      <c r="L174" s="20"/>
      <c r="M174" s="155"/>
      <c r="N174" s="115"/>
      <c r="O174" s="21"/>
      <c r="P174" s="171"/>
      <c r="Q174" s="171"/>
      <c r="R174" s="360" t="s">
        <v>153</v>
      </c>
      <c r="S174" s="360"/>
      <c r="T174" s="360"/>
      <c r="U174" s="360"/>
      <c r="V174" s="360"/>
      <c r="W174" s="360"/>
      <c r="X174" s="21"/>
      <c r="Y174" s="38"/>
      <c r="Z174" s="47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s="25" customFormat="1" ht="13.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20"/>
      <c r="M175" s="155"/>
      <c r="N175" s="115"/>
      <c r="O175" s="21"/>
      <c r="P175" s="171"/>
      <c r="Q175" s="171"/>
      <c r="R175" s="282"/>
      <c r="S175" s="282"/>
      <c r="T175" s="282"/>
      <c r="U175" s="21"/>
      <c r="V175" s="21"/>
      <c r="W175" s="21"/>
      <c r="X175" s="21"/>
      <c r="Y175" s="49"/>
      <c r="Z175" s="48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2:26" ht="11.25" customHeight="1">
      <c r="B176" s="4"/>
      <c r="C176" s="4"/>
      <c r="D176" s="4"/>
      <c r="E176" s="4"/>
      <c r="F176" s="4"/>
      <c r="G176" s="4"/>
      <c r="H176" s="4"/>
      <c r="I176" s="4"/>
      <c r="J176" s="4"/>
      <c r="L176" s="2"/>
      <c r="M176" s="156"/>
      <c r="N176" s="50"/>
      <c r="Y176" s="17"/>
      <c r="Z176" s="50"/>
    </row>
    <row r="177" spans="2:14" ht="13.5">
      <c r="B177" s="4"/>
      <c r="C177" s="4"/>
      <c r="D177" s="4"/>
      <c r="E177" s="4"/>
      <c r="F177" s="4"/>
      <c r="G177" s="4"/>
      <c r="H177" s="4"/>
      <c r="I177" s="4"/>
      <c r="J177" s="4"/>
      <c r="L177" s="2"/>
      <c r="M177" s="156"/>
      <c r="N177" s="50"/>
    </row>
    <row r="187" spans="1:35" s="117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57"/>
      <c r="O187" s="193"/>
      <c r="P187" s="25"/>
      <c r="Q187" s="25"/>
      <c r="U187" s="193"/>
      <c r="V187" s="3"/>
      <c r="W187" s="193"/>
      <c r="X187" s="3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s="117" customFormat="1" ht="13.5">
      <c r="A188" s="3"/>
      <c r="B188" s="30"/>
      <c r="C188" s="31"/>
      <c r="D188" s="2"/>
      <c r="E188" s="1"/>
      <c r="F188" s="1"/>
      <c r="G188" s="4"/>
      <c r="H188" s="4"/>
      <c r="I188" s="4"/>
      <c r="J188" s="4"/>
      <c r="K188" s="3"/>
      <c r="L188" s="2"/>
      <c r="M188" s="156"/>
      <c r="O188" s="193"/>
      <c r="P188" s="25"/>
      <c r="Q188" s="25"/>
      <c r="U188" s="193"/>
      <c r="V188" s="3"/>
      <c r="W188" s="193"/>
      <c r="X188" s="3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s="117" customFormat="1" ht="13.5">
      <c r="A189" s="3"/>
      <c r="B189" s="30"/>
      <c r="C189" s="31"/>
      <c r="D189" s="2"/>
      <c r="E189" s="1"/>
      <c r="F189" s="1"/>
      <c r="G189" s="4"/>
      <c r="H189" s="4"/>
      <c r="I189" s="4"/>
      <c r="J189" s="4"/>
      <c r="K189" s="3"/>
      <c r="L189" s="2"/>
      <c r="M189" s="156"/>
      <c r="O189" s="193"/>
      <c r="P189" s="25"/>
      <c r="Q189" s="25"/>
      <c r="U189" s="193"/>
      <c r="V189" s="3"/>
      <c r="W189" s="193"/>
      <c r="X189" s="3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s="117" customFormat="1" ht="13.5">
      <c r="A190" s="3"/>
      <c r="B190" s="30"/>
      <c r="C190" s="31"/>
      <c r="D190" s="2"/>
      <c r="E190" s="1"/>
      <c r="F190" s="1"/>
      <c r="G190" s="4"/>
      <c r="H190" s="4"/>
      <c r="I190" s="4"/>
      <c r="J190" s="4"/>
      <c r="K190" s="3"/>
      <c r="L190" s="2"/>
      <c r="M190" s="156"/>
      <c r="O190" s="193"/>
      <c r="P190" s="25"/>
      <c r="Q190" s="25"/>
      <c r="U190" s="193"/>
      <c r="V190" s="3"/>
      <c r="W190" s="193"/>
      <c r="X190" s="3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s="117" customFormat="1" ht="13.5">
      <c r="A191" s="3"/>
      <c r="B191" s="30"/>
      <c r="C191" s="1"/>
      <c r="D191" s="2"/>
      <c r="E191" s="1"/>
      <c r="F191" s="1"/>
      <c r="G191" s="4"/>
      <c r="H191" s="4"/>
      <c r="I191" s="4"/>
      <c r="J191" s="4"/>
      <c r="K191" s="3"/>
      <c r="L191" s="2"/>
      <c r="M191" s="156"/>
      <c r="O191" s="193"/>
      <c r="P191" s="25"/>
      <c r="Q191" s="25"/>
      <c r="U191" s="193"/>
      <c r="V191" s="3"/>
      <c r="W191" s="193"/>
      <c r="X191" s="3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s="117" customFormat="1" ht="13.5">
      <c r="A192" s="3"/>
      <c r="B192" s="30"/>
      <c r="C192" s="1"/>
      <c r="D192" s="2"/>
      <c r="E192" s="1"/>
      <c r="F192" s="1"/>
      <c r="G192" s="4"/>
      <c r="H192" s="4"/>
      <c r="I192" s="4"/>
      <c r="J192" s="4"/>
      <c r="K192" s="3"/>
      <c r="L192" s="2"/>
      <c r="M192" s="156"/>
      <c r="O192" s="193"/>
      <c r="P192" s="25"/>
      <c r="Q192" s="25"/>
      <c r="U192" s="193"/>
      <c r="V192" s="3"/>
      <c r="W192" s="193"/>
      <c r="X192" s="3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s="117" customFormat="1" ht="13.5">
      <c r="A193" s="3"/>
      <c r="B193" s="30"/>
      <c r="C193" s="1"/>
      <c r="D193" s="2"/>
      <c r="E193" s="1"/>
      <c r="F193" s="1"/>
      <c r="G193" s="4"/>
      <c r="H193" s="4"/>
      <c r="I193" s="4"/>
      <c r="J193" s="4"/>
      <c r="K193" s="3"/>
      <c r="L193" s="2"/>
      <c r="M193" s="156"/>
      <c r="O193" s="193"/>
      <c r="P193" s="25"/>
      <c r="Q193" s="25"/>
      <c r="U193" s="193"/>
      <c r="V193" s="3"/>
      <c r="W193" s="193"/>
      <c r="X193" s="3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s="117" customFormat="1" ht="13.5">
      <c r="A194" s="3"/>
      <c r="B194" s="30"/>
      <c r="C194" s="1"/>
      <c r="D194" s="2"/>
      <c r="E194" s="1"/>
      <c r="F194" s="1"/>
      <c r="G194" s="4"/>
      <c r="H194" s="4"/>
      <c r="I194" s="4"/>
      <c r="J194" s="4"/>
      <c r="K194" s="3"/>
      <c r="L194" s="2"/>
      <c r="M194" s="156"/>
      <c r="O194" s="193"/>
      <c r="P194" s="25"/>
      <c r="Q194" s="25"/>
      <c r="U194" s="193"/>
      <c r="V194" s="3"/>
      <c r="W194" s="193"/>
      <c r="X194" s="3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s="117" customFormat="1" ht="13.5">
      <c r="A195" s="3"/>
      <c r="B195" s="30"/>
      <c r="C195" s="31"/>
      <c r="D195" s="2"/>
      <c r="E195" s="1"/>
      <c r="F195" s="1"/>
      <c r="G195" s="4"/>
      <c r="H195" s="4"/>
      <c r="I195" s="4"/>
      <c r="J195" s="4"/>
      <c r="K195" s="3"/>
      <c r="L195" s="2"/>
      <c r="M195" s="156"/>
      <c r="O195" s="193"/>
      <c r="P195" s="25"/>
      <c r="Q195" s="25"/>
      <c r="U195" s="193"/>
      <c r="V195" s="3"/>
      <c r="W195" s="193"/>
      <c r="X195" s="3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s="117" customFormat="1" ht="13.5">
      <c r="A196" s="3"/>
      <c r="B196" s="32"/>
      <c r="C196" s="33"/>
      <c r="D196" s="2"/>
      <c r="E196" s="1"/>
      <c r="F196" s="1"/>
      <c r="G196" s="4"/>
      <c r="H196" s="4"/>
      <c r="I196" s="4"/>
      <c r="J196" s="4"/>
      <c r="K196" s="3"/>
      <c r="L196" s="2"/>
      <c r="M196" s="156"/>
      <c r="O196" s="193"/>
      <c r="P196" s="25"/>
      <c r="Q196" s="25"/>
      <c r="U196" s="193"/>
      <c r="V196" s="3"/>
      <c r="W196" s="193"/>
      <c r="X196" s="3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s="117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56"/>
      <c r="O197" s="193"/>
      <c r="P197" s="25"/>
      <c r="Q197" s="25"/>
      <c r="U197" s="193"/>
      <c r="V197" s="3"/>
      <c r="W197" s="193"/>
      <c r="X197" s="3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s="117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56"/>
      <c r="O198" s="193"/>
      <c r="P198" s="25"/>
      <c r="Q198" s="25"/>
      <c r="U198" s="193"/>
      <c r="V198" s="3"/>
      <c r="W198" s="193"/>
      <c r="X198" s="3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s="117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56"/>
      <c r="O199" s="193"/>
      <c r="P199" s="25"/>
      <c r="Q199" s="25"/>
      <c r="U199" s="193"/>
      <c r="V199" s="3"/>
      <c r="W199" s="193"/>
      <c r="X199" s="3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s="117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56"/>
      <c r="O200" s="193"/>
      <c r="P200" s="25"/>
      <c r="Q200" s="25"/>
      <c r="U200" s="193"/>
      <c r="V200" s="3"/>
      <c r="W200" s="193"/>
      <c r="X200" s="3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</row>
    <row r="201" spans="1:35" s="117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56"/>
      <c r="O201" s="193"/>
      <c r="P201" s="25"/>
      <c r="Q201" s="25"/>
      <c r="U201" s="193"/>
      <c r="V201" s="3"/>
      <c r="W201" s="193"/>
      <c r="X201" s="3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s="117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56"/>
      <c r="O202" s="193"/>
      <c r="P202" s="25"/>
      <c r="Q202" s="25"/>
      <c r="U202" s="193"/>
      <c r="V202" s="3"/>
      <c r="W202" s="193"/>
      <c r="X202" s="3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s="117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56"/>
      <c r="O203" s="193"/>
      <c r="P203" s="25"/>
      <c r="Q203" s="25"/>
      <c r="U203" s="193"/>
      <c r="V203" s="3"/>
      <c r="W203" s="193"/>
      <c r="X203" s="3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s="117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56"/>
      <c r="O204" s="193"/>
      <c r="P204" s="25"/>
      <c r="Q204" s="25"/>
      <c r="U204" s="193"/>
      <c r="V204" s="3"/>
      <c r="W204" s="193"/>
      <c r="X204" s="3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s="117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56"/>
      <c r="O205" s="193"/>
      <c r="P205" s="25"/>
      <c r="Q205" s="25"/>
      <c r="U205" s="193"/>
      <c r="V205" s="3"/>
      <c r="W205" s="193"/>
      <c r="X205" s="3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s="117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56"/>
      <c r="O206" s="193"/>
      <c r="P206" s="25"/>
      <c r="Q206" s="25"/>
      <c r="U206" s="193"/>
      <c r="V206" s="3"/>
      <c r="W206" s="193"/>
      <c r="X206" s="3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s="117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56"/>
      <c r="O207" s="193"/>
      <c r="P207" s="25"/>
      <c r="Q207" s="25"/>
      <c r="U207" s="193"/>
      <c r="V207" s="3"/>
      <c r="W207" s="193"/>
      <c r="X207" s="3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s="117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56"/>
      <c r="O208" s="193"/>
      <c r="P208" s="25"/>
      <c r="Q208" s="25"/>
      <c r="U208" s="193"/>
      <c r="V208" s="3"/>
      <c r="W208" s="193"/>
      <c r="X208" s="3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s="117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56"/>
      <c r="O209" s="193"/>
      <c r="P209" s="25"/>
      <c r="Q209" s="25"/>
      <c r="U209" s="193"/>
      <c r="V209" s="3"/>
      <c r="W209" s="193"/>
      <c r="X209" s="3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s="117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56"/>
      <c r="O210" s="193"/>
      <c r="P210" s="25"/>
      <c r="Q210" s="25"/>
      <c r="U210" s="193"/>
      <c r="V210" s="3"/>
      <c r="W210" s="193"/>
      <c r="X210" s="3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s="117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56"/>
      <c r="O211" s="193"/>
      <c r="P211" s="25"/>
      <c r="Q211" s="25"/>
      <c r="U211" s="193"/>
      <c r="V211" s="3"/>
      <c r="W211" s="193"/>
      <c r="X211" s="3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s="117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56"/>
      <c r="O212" s="193"/>
      <c r="P212" s="25"/>
      <c r="Q212" s="25"/>
      <c r="U212" s="193"/>
      <c r="V212" s="3"/>
      <c r="W212" s="193"/>
      <c r="X212" s="3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s="117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56"/>
      <c r="O213" s="193"/>
      <c r="P213" s="25"/>
      <c r="Q213" s="25"/>
      <c r="U213" s="193"/>
      <c r="V213" s="3"/>
      <c r="W213" s="193"/>
      <c r="X213" s="3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s="117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56"/>
      <c r="O214" s="193"/>
      <c r="P214" s="25"/>
      <c r="Q214" s="25"/>
      <c r="U214" s="193"/>
      <c r="V214" s="3"/>
      <c r="W214" s="193"/>
      <c r="X214" s="3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s="117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56"/>
      <c r="O215" s="193"/>
      <c r="P215" s="25"/>
      <c r="Q215" s="25"/>
      <c r="U215" s="193"/>
      <c r="V215" s="3"/>
      <c r="W215" s="193"/>
      <c r="X215" s="3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s="117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56"/>
      <c r="O216" s="193"/>
      <c r="P216" s="25"/>
      <c r="Q216" s="25"/>
      <c r="U216" s="193"/>
      <c r="V216" s="3"/>
      <c r="W216" s="193"/>
      <c r="X216" s="3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s="117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56"/>
      <c r="O217" s="193"/>
      <c r="P217" s="25"/>
      <c r="Q217" s="25"/>
      <c r="U217" s="193"/>
      <c r="V217" s="3"/>
      <c r="W217" s="193"/>
      <c r="X217" s="3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</row>
    <row r="218" spans="1:35" s="117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56"/>
      <c r="O218" s="193"/>
      <c r="P218" s="25"/>
      <c r="Q218" s="25"/>
      <c r="U218" s="193"/>
      <c r="V218" s="3"/>
      <c r="W218" s="193"/>
      <c r="X218" s="3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s="117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56"/>
      <c r="O219" s="193"/>
      <c r="P219" s="25"/>
      <c r="Q219" s="25"/>
      <c r="U219" s="193"/>
      <c r="V219" s="3"/>
      <c r="W219" s="193"/>
      <c r="X219" s="3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s="117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56"/>
      <c r="O220" s="193"/>
      <c r="P220" s="25"/>
      <c r="Q220" s="25"/>
      <c r="U220" s="193"/>
      <c r="V220" s="3"/>
      <c r="W220" s="193"/>
      <c r="X220" s="3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7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56"/>
      <c r="O221" s="193"/>
      <c r="P221" s="25"/>
      <c r="Q221" s="25"/>
      <c r="U221" s="193"/>
      <c r="V221" s="3"/>
      <c r="W221" s="193"/>
      <c r="X221" s="3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s="117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56"/>
      <c r="O222" s="193"/>
      <c r="P222" s="25"/>
      <c r="Q222" s="25"/>
      <c r="U222" s="193"/>
      <c r="V222" s="3"/>
      <c r="W222" s="193"/>
      <c r="X222" s="3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s="117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56"/>
      <c r="O223" s="193"/>
      <c r="P223" s="25"/>
      <c r="Q223" s="25"/>
      <c r="U223" s="193"/>
      <c r="V223" s="3"/>
      <c r="W223" s="193"/>
      <c r="X223" s="3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s="117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56"/>
      <c r="O224" s="193"/>
      <c r="P224" s="25"/>
      <c r="Q224" s="25"/>
      <c r="U224" s="193"/>
      <c r="V224" s="3"/>
      <c r="W224" s="193"/>
      <c r="X224" s="3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s="117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56"/>
      <c r="O225" s="193"/>
      <c r="P225" s="25"/>
      <c r="Q225" s="25"/>
      <c r="U225" s="193"/>
      <c r="V225" s="3"/>
      <c r="W225" s="193"/>
      <c r="X225" s="3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s="117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56"/>
      <c r="O226" s="193"/>
      <c r="P226" s="25"/>
      <c r="Q226" s="25"/>
      <c r="U226" s="193"/>
      <c r="V226" s="3"/>
      <c r="W226" s="193"/>
      <c r="X226" s="3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s="117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56"/>
      <c r="O227" s="193"/>
      <c r="P227" s="25"/>
      <c r="Q227" s="25"/>
      <c r="U227" s="193"/>
      <c r="V227" s="3"/>
      <c r="W227" s="193"/>
      <c r="X227" s="3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</row>
    <row r="228" spans="1:35" s="117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56"/>
      <c r="O228" s="193"/>
      <c r="P228" s="25"/>
      <c r="Q228" s="25"/>
      <c r="U228" s="193"/>
      <c r="V228" s="3"/>
      <c r="W228" s="193"/>
      <c r="X228" s="3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s="117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2"/>
      <c r="M229" s="156"/>
      <c r="O229" s="193"/>
      <c r="P229" s="25"/>
      <c r="Q229" s="25"/>
      <c r="U229" s="193"/>
      <c r="V229" s="3"/>
      <c r="W229" s="193"/>
      <c r="X229" s="3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s="117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56"/>
      <c r="O230" s="193"/>
      <c r="P230" s="25"/>
      <c r="Q230" s="25"/>
      <c r="U230" s="193"/>
      <c r="V230" s="3"/>
      <c r="W230" s="193"/>
      <c r="X230" s="3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s="117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56"/>
      <c r="O231" s="193"/>
      <c r="P231" s="25"/>
      <c r="Q231" s="25"/>
      <c r="U231" s="193"/>
      <c r="V231" s="3"/>
      <c r="W231" s="193"/>
      <c r="X231" s="3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s="117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56"/>
      <c r="O232" s="193"/>
      <c r="P232" s="25"/>
      <c r="Q232" s="25"/>
      <c r="U232" s="193"/>
      <c r="V232" s="3"/>
      <c r="W232" s="193"/>
      <c r="X232" s="3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s="117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56"/>
      <c r="O233" s="193"/>
      <c r="P233" s="25"/>
      <c r="Q233" s="25"/>
      <c r="U233" s="193"/>
      <c r="V233" s="3"/>
      <c r="W233" s="193"/>
      <c r="X233" s="3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s="117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56"/>
      <c r="O234" s="193"/>
      <c r="P234" s="25"/>
      <c r="Q234" s="25"/>
      <c r="U234" s="193"/>
      <c r="V234" s="3"/>
      <c r="W234" s="193"/>
      <c r="X234" s="3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2:13" ht="13.5">
      <c r="L235" s="2"/>
      <c r="M235" s="156"/>
    </row>
  </sheetData>
  <sheetProtection/>
  <mergeCells count="107">
    <mergeCell ref="A1:X1"/>
    <mergeCell ref="A2:X2"/>
    <mergeCell ref="A3:X3"/>
    <mergeCell ref="A6:A9"/>
    <mergeCell ref="B6:B9"/>
    <mergeCell ref="C6:C9"/>
    <mergeCell ref="D6:D9"/>
    <mergeCell ref="E6:E9"/>
    <mergeCell ref="F6:F9"/>
    <mergeCell ref="G6:I6"/>
    <mergeCell ref="J6:J9"/>
    <mergeCell ref="K6:K9"/>
    <mergeCell ref="L6:L9"/>
    <mergeCell ref="M6:M9"/>
    <mergeCell ref="N6:O6"/>
    <mergeCell ref="P6:Q6"/>
    <mergeCell ref="Q7:Q9"/>
    <mergeCell ref="R6:U6"/>
    <mergeCell ref="V6:V9"/>
    <mergeCell ref="W6:W9"/>
    <mergeCell ref="X6:X9"/>
    <mergeCell ref="G7:G9"/>
    <mergeCell ref="H7:H9"/>
    <mergeCell ref="I7:I9"/>
    <mergeCell ref="N7:N9"/>
    <mergeCell ref="O7:O9"/>
    <mergeCell ref="P7:P9"/>
    <mergeCell ref="R7:R9"/>
    <mergeCell ref="S7:S9"/>
    <mergeCell ref="T7:T9"/>
    <mergeCell ref="U7:U9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X103:X104"/>
    <mergeCell ref="M103:M104"/>
    <mergeCell ref="N103:N104"/>
    <mergeCell ref="O103:O104"/>
    <mergeCell ref="P103:P104"/>
    <mergeCell ref="Q103:Q104"/>
    <mergeCell ref="R103:R104"/>
    <mergeCell ref="R166:W166"/>
    <mergeCell ref="R168:W168"/>
    <mergeCell ref="R173:W173"/>
    <mergeCell ref="R174:W174"/>
    <mergeCell ref="S103:S104"/>
    <mergeCell ref="T103:T104"/>
    <mergeCell ref="U103:U104"/>
    <mergeCell ref="V103:V104"/>
    <mergeCell ref="W103:W104"/>
  </mergeCells>
  <printOptions/>
  <pageMargins left="0.7874015748031497" right="1.1811023622047245" top="0" bottom="0" header="0.1968503937007874" footer="0.31496062992125984"/>
  <pageSetup horizontalDpi="300" verticalDpi="3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5"/>
  <sheetViews>
    <sheetView zoomScalePageLayoutView="0" workbookViewId="0" topLeftCell="A1">
      <pane xSplit="2" ySplit="10" topLeftCell="C1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168" sqref="R168:W168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6.421875" style="3" customWidth="1"/>
    <col min="4" max="4" width="4.421875" style="3" customWidth="1"/>
    <col min="5" max="5" width="3.7109375" style="3" customWidth="1"/>
    <col min="6" max="6" width="4.8515625" style="3" customWidth="1"/>
    <col min="7" max="7" width="3.7109375" style="3" customWidth="1"/>
    <col min="8" max="8" width="3.8515625" style="3" customWidth="1"/>
    <col min="9" max="9" width="3.7109375" style="3" hidden="1" customWidth="1"/>
    <col min="10" max="10" width="13.57421875" style="3" customWidth="1"/>
    <col min="11" max="11" width="4.7109375" style="3" customWidth="1"/>
    <col min="12" max="12" width="3.28125" style="3" customWidth="1"/>
    <col min="13" max="13" width="7.57421875" style="157" customWidth="1"/>
    <col min="14" max="14" width="12.140625" style="117" customWidth="1"/>
    <col min="15" max="15" width="4.57421875" style="193" customWidth="1"/>
    <col min="16" max="16" width="5.421875" style="25" customWidth="1"/>
    <col min="17" max="17" width="5.28125" style="25" customWidth="1"/>
    <col min="18" max="18" width="11.421875" style="117" customWidth="1"/>
    <col min="19" max="19" width="12.140625" style="117" customWidth="1"/>
    <col min="20" max="20" width="12.7109375" style="117" customWidth="1"/>
    <col min="21" max="21" width="6.28125" style="193" customWidth="1"/>
    <col min="22" max="22" width="12.7109375" style="3" customWidth="1"/>
    <col min="23" max="23" width="8.28125" style="193" customWidth="1"/>
    <col min="24" max="24" width="4.28125" style="3" customWidth="1"/>
    <col min="25" max="25" width="14.28125" style="40" customWidth="1"/>
    <col min="26" max="26" width="10.28125" style="40" customWidth="1"/>
    <col min="27" max="27" width="12.421875" style="40" customWidth="1"/>
    <col min="28" max="30" width="9.140625" style="40" customWidth="1"/>
    <col min="31" max="31" width="10.421875" style="40" customWidth="1"/>
    <col min="32" max="35" width="9.140625" style="40" customWidth="1"/>
    <col min="36" max="16384" width="9.140625" style="3" customWidth="1"/>
  </cols>
  <sheetData>
    <row r="1" spans="1:35" s="24" customFormat="1" ht="15.75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51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4" s="24" customFormat="1" ht="15.75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5" s="24" customFormat="1" ht="15.75">
      <c r="A3" s="322" t="s">
        <v>313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51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4" customFormat="1" ht="15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5"/>
      <c r="P4" s="178"/>
      <c r="Q4" s="178"/>
      <c r="R4" s="278"/>
      <c r="S4" s="278"/>
      <c r="T4" s="278"/>
      <c r="U4" s="185"/>
      <c r="V4" s="178"/>
      <c r="W4" s="185"/>
      <c r="X4" s="178"/>
      <c r="Y4" s="151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4" customFormat="1" ht="16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2"/>
      <c r="O5" s="186"/>
      <c r="P5" s="152"/>
      <c r="Q5" s="152"/>
      <c r="R5" s="278"/>
      <c r="S5" s="278"/>
      <c r="T5" s="278"/>
      <c r="U5" s="185"/>
      <c r="V5" s="178"/>
      <c r="W5" s="186"/>
      <c r="X5" s="178"/>
      <c r="Y5" s="151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5" customFormat="1" ht="13.5" customHeight="1">
      <c r="A6" s="323" t="s">
        <v>0</v>
      </c>
      <c r="B6" s="323" t="s">
        <v>27</v>
      </c>
      <c r="C6" s="323" t="s">
        <v>10</v>
      </c>
      <c r="D6" s="323" t="s">
        <v>29</v>
      </c>
      <c r="E6" s="323" t="s">
        <v>36</v>
      </c>
      <c r="F6" s="323" t="s">
        <v>21</v>
      </c>
      <c r="G6" s="326" t="s">
        <v>1</v>
      </c>
      <c r="H6" s="327"/>
      <c r="I6" s="328"/>
      <c r="J6" s="323" t="s">
        <v>158</v>
      </c>
      <c r="K6" s="323" t="s">
        <v>300</v>
      </c>
      <c r="L6" s="323" t="s">
        <v>14</v>
      </c>
      <c r="M6" s="323" t="s">
        <v>26</v>
      </c>
      <c r="N6" s="329" t="s">
        <v>2</v>
      </c>
      <c r="O6" s="330"/>
      <c r="P6" s="331" t="s">
        <v>38</v>
      </c>
      <c r="Q6" s="332"/>
      <c r="R6" s="331" t="s">
        <v>32</v>
      </c>
      <c r="S6" s="334"/>
      <c r="T6" s="334"/>
      <c r="U6" s="334"/>
      <c r="V6" s="323" t="s">
        <v>35</v>
      </c>
      <c r="W6" s="335" t="s">
        <v>33</v>
      </c>
      <c r="X6" s="323" t="s">
        <v>34</v>
      </c>
      <c r="Y6" s="153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25" customFormat="1" ht="13.5">
      <c r="A7" s="324"/>
      <c r="B7" s="324"/>
      <c r="C7" s="324"/>
      <c r="D7" s="324"/>
      <c r="E7" s="324"/>
      <c r="F7" s="324"/>
      <c r="G7" s="333" t="s">
        <v>11</v>
      </c>
      <c r="H7" s="333" t="s">
        <v>12</v>
      </c>
      <c r="I7" s="333" t="s">
        <v>13</v>
      </c>
      <c r="J7" s="324"/>
      <c r="K7" s="324"/>
      <c r="L7" s="324"/>
      <c r="M7" s="324"/>
      <c r="N7" s="338" t="s">
        <v>30</v>
      </c>
      <c r="O7" s="341" t="s">
        <v>31</v>
      </c>
      <c r="P7" s="333" t="s">
        <v>3</v>
      </c>
      <c r="Q7" s="333" t="s">
        <v>23</v>
      </c>
      <c r="R7" s="342" t="s">
        <v>24</v>
      </c>
      <c r="S7" s="342" t="s">
        <v>25</v>
      </c>
      <c r="T7" s="342" t="s">
        <v>15</v>
      </c>
      <c r="U7" s="345" t="s">
        <v>4</v>
      </c>
      <c r="V7" s="324"/>
      <c r="W7" s="336"/>
      <c r="X7" s="324"/>
      <c r="Y7" s="153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25" customFormat="1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39"/>
      <c r="O8" s="336"/>
      <c r="P8" s="324"/>
      <c r="Q8" s="324"/>
      <c r="R8" s="343"/>
      <c r="S8" s="343"/>
      <c r="T8" s="343"/>
      <c r="U8" s="346"/>
      <c r="V8" s="324"/>
      <c r="W8" s="336"/>
      <c r="X8" s="324"/>
      <c r="Y8" s="153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5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40"/>
      <c r="O9" s="337"/>
      <c r="P9" s="325"/>
      <c r="Q9" s="325"/>
      <c r="R9" s="344"/>
      <c r="S9" s="344"/>
      <c r="T9" s="344"/>
      <c r="U9" s="347"/>
      <c r="V9" s="325"/>
      <c r="W9" s="337"/>
      <c r="X9" s="325"/>
      <c r="Y9" s="153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27" customFormat="1" ht="13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/>
      <c r="K10" s="167">
        <v>11</v>
      </c>
      <c r="L10" s="167">
        <v>12</v>
      </c>
      <c r="M10" s="223">
        <v>13</v>
      </c>
      <c r="N10" s="224">
        <v>14</v>
      </c>
      <c r="O10" s="225">
        <v>15</v>
      </c>
      <c r="P10" s="167">
        <v>16</v>
      </c>
      <c r="Q10" s="167">
        <v>17</v>
      </c>
      <c r="R10" s="224">
        <v>18</v>
      </c>
      <c r="S10" s="224">
        <v>19</v>
      </c>
      <c r="T10" s="224">
        <v>20</v>
      </c>
      <c r="U10" s="225">
        <v>21</v>
      </c>
      <c r="V10" s="167">
        <v>22</v>
      </c>
      <c r="W10" s="225">
        <v>23</v>
      </c>
      <c r="X10" s="167">
        <v>24</v>
      </c>
      <c r="Y10" s="226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25" s="43" customFormat="1" ht="13.5" customHeight="1">
      <c r="A11" s="228" t="s">
        <v>18</v>
      </c>
      <c r="B11" s="229" t="s">
        <v>163</v>
      </c>
      <c r="C11" s="228"/>
      <c r="D11" s="228"/>
      <c r="E11" s="228"/>
      <c r="F11" s="228"/>
      <c r="G11" s="228"/>
      <c r="H11" s="228"/>
      <c r="I11" s="228"/>
      <c r="J11" s="230">
        <f>J12+J24</f>
        <v>11246303956</v>
      </c>
      <c r="K11" s="230"/>
      <c r="L11" s="230"/>
      <c r="M11" s="230"/>
      <c r="N11" s="230">
        <f>N12+N24</f>
        <v>3553659311</v>
      </c>
      <c r="O11" s="231">
        <f>N11/J11*100</f>
        <v>31.598464036747753</v>
      </c>
      <c r="P11" s="230"/>
      <c r="Q11" s="230"/>
      <c r="R11" s="230">
        <f>R12+R24</f>
        <v>953050443</v>
      </c>
      <c r="S11" s="230">
        <f>S12+S24</f>
        <v>672422499</v>
      </c>
      <c r="T11" s="230">
        <f>T12+T24</f>
        <v>1625472942</v>
      </c>
      <c r="U11" s="231">
        <f>T11/N11*100</f>
        <v>45.74082093262316</v>
      </c>
      <c r="V11" s="230">
        <f>V12+V24</f>
        <v>9620831014</v>
      </c>
      <c r="W11" s="231">
        <f>V11/J11*100</f>
        <v>85.54660314749188</v>
      </c>
      <c r="X11" s="230"/>
      <c r="Y11" s="226"/>
    </row>
    <row r="12" spans="1:25" s="43" customFormat="1" ht="13.5" customHeight="1">
      <c r="A12" s="232"/>
      <c r="B12" s="233" t="s">
        <v>164</v>
      </c>
      <c r="C12" s="234"/>
      <c r="D12" s="234"/>
      <c r="E12" s="234"/>
      <c r="F12" s="234"/>
      <c r="G12" s="232"/>
      <c r="H12" s="232"/>
      <c r="I12" s="232"/>
      <c r="J12" s="235">
        <f>J13</f>
        <v>767318206</v>
      </c>
      <c r="K12" s="235"/>
      <c r="L12" s="235"/>
      <c r="M12" s="235"/>
      <c r="N12" s="235">
        <f>N13</f>
        <v>190443891</v>
      </c>
      <c r="O12" s="236">
        <f aca="true" t="shared" si="0" ref="O12:O23">N12/J12*100</f>
        <v>24.81941514105036</v>
      </c>
      <c r="P12" s="235"/>
      <c r="Q12" s="235"/>
      <c r="R12" s="235">
        <f>R13</f>
        <v>111994632</v>
      </c>
      <c r="S12" s="235">
        <f>S13</f>
        <v>73989264</v>
      </c>
      <c r="T12" s="235">
        <f>T13</f>
        <v>185983896</v>
      </c>
      <c r="U12" s="236">
        <f>T12/N12*100</f>
        <v>97.65810550468117</v>
      </c>
      <c r="V12" s="235">
        <f>V13</f>
        <v>581334310</v>
      </c>
      <c r="W12" s="236">
        <f aca="true" t="shared" si="1" ref="W12:W23">V12/J12*100</f>
        <v>75.76182937590823</v>
      </c>
      <c r="X12" s="235"/>
      <c r="Y12" s="226"/>
    </row>
    <row r="13" spans="1:25" s="43" customFormat="1" ht="13.5" customHeight="1">
      <c r="A13" s="237"/>
      <c r="B13" s="238" t="s">
        <v>83</v>
      </c>
      <c r="C13" s="237"/>
      <c r="D13" s="237"/>
      <c r="E13" s="237"/>
      <c r="F13" s="237"/>
      <c r="G13" s="237"/>
      <c r="H13" s="237"/>
      <c r="I13" s="237"/>
      <c r="J13" s="239">
        <f>J14+J22</f>
        <v>767318206</v>
      </c>
      <c r="K13" s="239"/>
      <c r="L13" s="239"/>
      <c r="M13" s="239"/>
      <c r="N13" s="239">
        <f>N14+N22</f>
        <v>190443891</v>
      </c>
      <c r="O13" s="240">
        <f t="shared" si="0"/>
        <v>24.81941514105036</v>
      </c>
      <c r="P13" s="239"/>
      <c r="Q13" s="239"/>
      <c r="R13" s="239">
        <f>R14+R22</f>
        <v>111994632</v>
      </c>
      <c r="S13" s="239">
        <f>S14+S22</f>
        <v>73989264</v>
      </c>
      <c r="T13" s="239">
        <f>T14+T22</f>
        <v>185983896</v>
      </c>
      <c r="U13" s="240">
        <f>T13/N13*100</f>
        <v>97.65810550468117</v>
      </c>
      <c r="V13" s="239">
        <f>V14+V22</f>
        <v>581334310</v>
      </c>
      <c r="W13" s="240">
        <f t="shared" si="1"/>
        <v>75.76182937590823</v>
      </c>
      <c r="X13" s="239"/>
      <c r="Y13" s="226"/>
    </row>
    <row r="14" spans="1:25" s="43" customFormat="1" ht="13.5" customHeight="1">
      <c r="A14" s="241"/>
      <c r="B14" s="242" t="s">
        <v>165</v>
      </c>
      <c r="C14" s="276" t="s">
        <v>301</v>
      </c>
      <c r="D14" s="241" t="s">
        <v>175</v>
      </c>
      <c r="E14" s="241">
        <v>12</v>
      </c>
      <c r="F14" s="241" t="s">
        <v>176</v>
      </c>
      <c r="G14" s="10" t="s">
        <v>28</v>
      </c>
      <c r="H14" s="102" t="s">
        <v>5</v>
      </c>
      <c r="I14" s="241"/>
      <c r="J14" s="243">
        <f>SUM(J15:J21)</f>
        <v>167318206</v>
      </c>
      <c r="K14" s="241"/>
      <c r="L14" s="241"/>
      <c r="M14" s="105"/>
      <c r="N14" s="244">
        <f>SUM(N15:N21)</f>
        <v>40443891</v>
      </c>
      <c r="O14" s="245">
        <f t="shared" si="0"/>
        <v>24.17184116831853</v>
      </c>
      <c r="P14" s="170" t="s">
        <v>139</v>
      </c>
      <c r="Q14" s="170" t="s">
        <v>309</v>
      </c>
      <c r="R14" s="244">
        <f>SUM(R15:R21)</f>
        <v>11994632</v>
      </c>
      <c r="S14" s="244">
        <f>SUM(S15:S21)</f>
        <v>23989264</v>
      </c>
      <c r="T14" s="244">
        <f>SUM(T15:T21)</f>
        <v>35983896</v>
      </c>
      <c r="U14" s="245">
        <f aca="true" t="shared" si="2" ref="U14:U23">T14/N14*100</f>
        <v>88.9723889326079</v>
      </c>
      <c r="V14" s="244">
        <f>SUM(V15:V21)</f>
        <v>131334310</v>
      </c>
      <c r="W14" s="245">
        <f t="shared" si="1"/>
        <v>78.4937354635514</v>
      </c>
      <c r="X14" s="244"/>
      <c r="Y14" s="226"/>
    </row>
    <row r="15" spans="1:25" s="44" customFormat="1" ht="13.5" customHeight="1">
      <c r="A15" s="246"/>
      <c r="B15" s="247" t="s">
        <v>166</v>
      </c>
      <c r="C15" s="277" t="s">
        <v>134</v>
      </c>
      <c r="D15" s="246" t="s">
        <v>175</v>
      </c>
      <c r="E15" s="246">
        <v>12</v>
      </c>
      <c r="F15" s="246" t="s">
        <v>176</v>
      </c>
      <c r="G15" s="9" t="s">
        <v>28</v>
      </c>
      <c r="H15" s="5" t="s">
        <v>5</v>
      </c>
      <c r="I15" s="246"/>
      <c r="J15" s="248">
        <v>54600000</v>
      </c>
      <c r="K15" s="246"/>
      <c r="L15" s="246"/>
      <c r="M15" s="7" t="s">
        <v>78</v>
      </c>
      <c r="N15" s="249">
        <f>3900000+3900000+3900000</f>
        <v>11700000</v>
      </c>
      <c r="O15" s="250">
        <f>N15/J15*100</f>
        <v>21.428571428571427</v>
      </c>
      <c r="P15" s="91" t="s">
        <v>139</v>
      </c>
      <c r="Q15" s="91" t="s">
        <v>309</v>
      </c>
      <c r="R15" s="249">
        <v>3900000</v>
      </c>
      <c r="S15" s="249">
        <v>7800000</v>
      </c>
      <c r="T15" s="249">
        <f aca="true" t="shared" si="3" ref="T15:T21">R15+S15</f>
        <v>11700000</v>
      </c>
      <c r="U15" s="250">
        <f t="shared" si="2"/>
        <v>100</v>
      </c>
      <c r="V15" s="251">
        <f>J15-T15</f>
        <v>42900000</v>
      </c>
      <c r="W15" s="250">
        <f t="shared" si="1"/>
        <v>78.57142857142857</v>
      </c>
      <c r="X15" s="246"/>
      <c r="Y15" s="252"/>
    </row>
    <row r="16" spans="1:25" s="44" customFormat="1" ht="13.5" customHeight="1">
      <c r="A16" s="246"/>
      <c r="B16" s="247" t="s">
        <v>167</v>
      </c>
      <c r="C16" s="277" t="s">
        <v>108</v>
      </c>
      <c r="D16" s="246" t="s">
        <v>175</v>
      </c>
      <c r="E16" s="246">
        <v>12</v>
      </c>
      <c r="F16" s="246" t="s">
        <v>176</v>
      </c>
      <c r="G16" s="9" t="s">
        <v>28</v>
      </c>
      <c r="H16" s="5" t="s">
        <v>5</v>
      </c>
      <c r="I16" s="246"/>
      <c r="J16" s="248">
        <v>7140000</v>
      </c>
      <c r="K16" s="246"/>
      <c r="L16" s="246"/>
      <c r="M16" s="7" t="s">
        <v>78</v>
      </c>
      <c r="N16" s="249">
        <f>510000+5100000+510000</f>
        <v>6120000</v>
      </c>
      <c r="O16" s="250">
        <f t="shared" si="0"/>
        <v>85.71428571428571</v>
      </c>
      <c r="P16" s="91" t="s">
        <v>139</v>
      </c>
      <c r="Q16" s="91" t="s">
        <v>309</v>
      </c>
      <c r="R16" s="249">
        <v>510000</v>
      </c>
      <c r="S16" s="249">
        <v>1020000</v>
      </c>
      <c r="T16" s="249">
        <f t="shared" si="3"/>
        <v>1530000</v>
      </c>
      <c r="U16" s="250">
        <f t="shared" si="2"/>
        <v>25</v>
      </c>
      <c r="V16" s="251">
        <f aca="true" t="shared" si="4" ref="V16:V23">J16-T16</f>
        <v>5610000</v>
      </c>
      <c r="W16" s="250">
        <f t="shared" si="1"/>
        <v>78.57142857142857</v>
      </c>
      <c r="X16" s="246"/>
      <c r="Y16" s="252"/>
    </row>
    <row r="17" spans="1:25" s="44" customFormat="1" ht="13.5" customHeight="1">
      <c r="A17" s="246"/>
      <c r="B17" s="247" t="s">
        <v>168</v>
      </c>
      <c r="C17" s="277" t="s">
        <v>267</v>
      </c>
      <c r="D17" s="246" t="s">
        <v>175</v>
      </c>
      <c r="E17" s="246">
        <v>12</v>
      </c>
      <c r="F17" s="246" t="s">
        <v>176</v>
      </c>
      <c r="G17" s="9" t="s">
        <v>28</v>
      </c>
      <c r="H17" s="5" t="s">
        <v>5</v>
      </c>
      <c r="I17" s="246"/>
      <c r="J17" s="248">
        <v>98280000</v>
      </c>
      <c r="K17" s="246"/>
      <c r="L17" s="246"/>
      <c r="M17" s="7" t="s">
        <v>78</v>
      </c>
      <c r="N17" s="249">
        <f>7020000+7020000+7020000</f>
        <v>21060000</v>
      </c>
      <c r="O17" s="250">
        <f t="shared" si="0"/>
        <v>21.428571428571427</v>
      </c>
      <c r="P17" s="91" t="s">
        <v>139</v>
      </c>
      <c r="Q17" s="91" t="s">
        <v>309</v>
      </c>
      <c r="R17" s="249">
        <v>7020000</v>
      </c>
      <c r="S17" s="249">
        <v>14040000</v>
      </c>
      <c r="T17" s="249">
        <f t="shared" si="3"/>
        <v>21060000</v>
      </c>
      <c r="U17" s="250">
        <f t="shared" si="2"/>
        <v>100</v>
      </c>
      <c r="V17" s="251">
        <f t="shared" si="4"/>
        <v>77220000</v>
      </c>
      <c r="W17" s="250">
        <f t="shared" si="1"/>
        <v>78.57142857142857</v>
      </c>
      <c r="X17" s="246"/>
      <c r="Y17" s="252"/>
    </row>
    <row r="18" spans="1:25" s="44" customFormat="1" ht="13.5" customHeight="1">
      <c r="A18" s="246"/>
      <c r="B18" s="247" t="s">
        <v>169</v>
      </c>
      <c r="C18" s="277" t="s">
        <v>267</v>
      </c>
      <c r="D18" s="246" t="s">
        <v>175</v>
      </c>
      <c r="E18" s="246">
        <v>12</v>
      </c>
      <c r="F18" s="246" t="s">
        <v>176</v>
      </c>
      <c r="G18" s="9" t="s">
        <v>28</v>
      </c>
      <c r="H18" s="5" t="s">
        <v>5</v>
      </c>
      <c r="I18" s="246"/>
      <c r="J18" s="248">
        <v>6144110</v>
      </c>
      <c r="K18" s="246"/>
      <c r="L18" s="246"/>
      <c r="M18" s="7" t="s">
        <v>78</v>
      </c>
      <c r="N18" s="249">
        <f>438865+438856+438865</f>
        <v>1316586</v>
      </c>
      <c r="O18" s="250">
        <f t="shared" si="0"/>
        <v>21.428424946818986</v>
      </c>
      <c r="P18" s="91" t="s">
        <v>139</v>
      </c>
      <c r="Q18" s="91" t="s">
        <v>309</v>
      </c>
      <c r="R18" s="249">
        <v>506940</v>
      </c>
      <c r="S18" s="249">
        <v>1013880</v>
      </c>
      <c r="T18" s="249">
        <f t="shared" si="3"/>
        <v>1520820</v>
      </c>
      <c r="U18" s="250">
        <f>T18/N18*100</f>
        <v>115.51239341752077</v>
      </c>
      <c r="V18" s="251">
        <f t="shared" si="4"/>
        <v>4623290</v>
      </c>
      <c r="W18" s="250">
        <f t="shared" si="1"/>
        <v>75.2475134722523</v>
      </c>
      <c r="X18" s="246"/>
      <c r="Y18" s="252"/>
    </row>
    <row r="19" spans="1:25" s="44" customFormat="1" ht="13.5" customHeight="1">
      <c r="A19" s="246"/>
      <c r="B19" s="247" t="s">
        <v>170</v>
      </c>
      <c r="C19" s="277" t="s">
        <v>302</v>
      </c>
      <c r="D19" s="246" t="s">
        <v>175</v>
      </c>
      <c r="E19" s="246">
        <v>12</v>
      </c>
      <c r="F19" s="246" t="s">
        <v>176</v>
      </c>
      <c r="G19" s="9" t="s">
        <v>28</v>
      </c>
      <c r="H19" s="5" t="s">
        <v>5</v>
      </c>
      <c r="I19" s="246"/>
      <c r="J19" s="248">
        <v>703976</v>
      </c>
      <c r="K19" s="246"/>
      <c r="L19" s="246"/>
      <c r="M19" s="7" t="s">
        <v>78</v>
      </c>
      <c r="N19" s="249">
        <f>50284+50284+50284</f>
        <v>150852</v>
      </c>
      <c r="O19" s="250">
        <f t="shared" si="0"/>
        <v>21.428571428571427</v>
      </c>
      <c r="P19" s="91" t="s">
        <v>139</v>
      </c>
      <c r="Q19" s="91" t="s">
        <v>309</v>
      </c>
      <c r="R19" s="249">
        <v>20092</v>
      </c>
      <c r="S19" s="249">
        <v>40184</v>
      </c>
      <c r="T19" s="249">
        <f t="shared" si="3"/>
        <v>60276</v>
      </c>
      <c r="U19" s="250">
        <f t="shared" si="2"/>
        <v>39.95704399013603</v>
      </c>
      <c r="V19" s="251">
        <f t="shared" si="4"/>
        <v>643700</v>
      </c>
      <c r="W19" s="250">
        <f t="shared" si="1"/>
        <v>91.437776287828</v>
      </c>
      <c r="X19" s="246"/>
      <c r="Y19" s="252"/>
    </row>
    <row r="20" spans="1:25" s="44" customFormat="1" ht="13.5" customHeight="1">
      <c r="A20" s="246"/>
      <c r="B20" s="247" t="s">
        <v>171</v>
      </c>
      <c r="C20" s="277" t="s">
        <v>268</v>
      </c>
      <c r="D20" s="246" t="s">
        <v>175</v>
      </c>
      <c r="E20" s="246">
        <v>12</v>
      </c>
      <c r="F20" s="246" t="s">
        <v>176</v>
      </c>
      <c r="G20" s="9" t="s">
        <v>28</v>
      </c>
      <c r="H20" s="5" t="s">
        <v>5</v>
      </c>
      <c r="I20" s="246"/>
      <c r="J20" s="248">
        <v>840</v>
      </c>
      <c r="K20" s="246"/>
      <c r="L20" s="246"/>
      <c r="M20" s="7" t="s">
        <v>78</v>
      </c>
      <c r="N20" s="249">
        <f>60+60+60</f>
        <v>180</v>
      </c>
      <c r="O20" s="250">
        <f t="shared" si="0"/>
        <v>21.428571428571427</v>
      </c>
      <c r="P20" s="91" t="s">
        <v>139</v>
      </c>
      <c r="Q20" s="91" t="s">
        <v>309</v>
      </c>
      <c r="R20" s="249">
        <v>160</v>
      </c>
      <c r="S20" s="249">
        <v>320</v>
      </c>
      <c r="T20" s="249">
        <f t="shared" si="3"/>
        <v>480</v>
      </c>
      <c r="U20" s="250">
        <f t="shared" si="2"/>
        <v>266.66666666666663</v>
      </c>
      <c r="V20" s="251">
        <f t="shared" si="4"/>
        <v>360</v>
      </c>
      <c r="W20" s="250">
        <f t="shared" si="1"/>
        <v>42.857142857142854</v>
      </c>
      <c r="X20" s="246"/>
      <c r="Y20" s="252"/>
    </row>
    <row r="21" spans="1:25" s="44" customFormat="1" ht="22.5" customHeight="1">
      <c r="A21" s="246"/>
      <c r="B21" s="247" t="s">
        <v>172</v>
      </c>
      <c r="C21" s="277" t="s">
        <v>303</v>
      </c>
      <c r="D21" s="246" t="s">
        <v>175</v>
      </c>
      <c r="E21" s="246">
        <v>12</v>
      </c>
      <c r="F21" s="246" t="s">
        <v>176</v>
      </c>
      <c r="G21" s="9" t="s">
        <v>28</v>
      </c>
      <c r="H21" s="5" t="s">
        <v>5</v>
      </c>
      <c r="I21" s="246"/>
      <c r="J21" s="248">
        <v>449280</v>
      </c>
      <c r="K21" s="246"/>
      <c r="L21" s="246"/>
      <c r="M21" s="7" t="s">
        <v>78</v>
      </c>
      <c r="N21" s="249">
        <f>96273</f>
        <v>96273</v>
      </c>
      <c r="O21" s="250">
        <f t="shared" si="0"/>
        <v>21.428285256410255</v>
      </c>
      <c r="P21" s="91" t="s">
        <v>139</v>
      </c>
      <c r="Q21" s="91" t="s">
        <v>309</v>
      </c>
      <c r="R21" s="249">
        <v>37440</v>
      </c>
      <c r="S21" s="249">
        <v>74880</v>
      </c>
      <c r="T21" s="249">
        <f t="shared" si="3"/>
        <v>112320</v>
      </c>
      <c r="U21" s="250">
        <f t="shared" si="2"/>
        <v>116.66822473590726</v>
      </c>
      <c r="V21" s="251">
        <f t="shared" si="4"/>
        <v>336960</v>
      </c>
      <c r="W21" s="250">
        <f t="shared" si="1"/>
        <v>75</v>
      </c>
      <c r="X21" s="246"/>
      <c r="Y21" s="252"/>
    </row>
    <row r="22" spans="1:25" s="259" customFormat="1" ht="26.25" customHeight="1">
      <c r="A22" s="219"/>
      <c r="B22" s="253" t="s">
        <v>173</v>
      </c>
      <c r="C22" s="218" t="s">
        <v>227</v>
      </c>
      <c r="D22" s="219" t="s">
        <v>175</v>
      </c>
      <c r="E22" s="219">
        <v>12</v>
      </c>
      <c r="F22" s="219" t="s">
        <v>176</v>
      </c>
      <c r="G22" s="206" t="s">
        <v>28</v>
      </c>
      <c r="H22" s="207" t="s">
        <v>5</v>
      </c>
      <c r="I22" s="219"/>
      <c r="J22" s="254">
        <v>600000000</v>
      </c>
      <c r="K22" s="219"/>
      <c r="L22" s="219"/>
      <c r="M22" s="255"/>
      <c r="N22" s="256">
        <f>SUM(N23)</f>
        <v>150000000</v>
      </c>
      <c r="O22" s="257">
        <f t="shared" si="0"/>
        <v>25</v>
      </c>
      <c r="P22" s="275" t="s">
        <v>139</v>
      </c>
      <c r="Q22" s="275" t="s">
        <v>309</v>
      </c>
      <c r="R22" s="256">
        <f>SUM(R23)</f>
        <v>100000000</v>
      </c>
      <c r="S22" s="256">
        <f>SUM(S23)</f>
        <v>50000000</v>
      </c>
      <c r="T22" s="256">
        <f>SUM(T23)</f>
        <v>150000000</v>
      </c>
      <c r="U22" s="257">
        <f t="shared" si="2"/>
        <v>100</v>
      </c>
      <c r="V22" s="256">
        <f>SUM(V23)</f>
        <v>450000000</v>
      </c>
      <c r="W22" s="257">
        <f t="shared" si="1"/>
        <v>75</v>
      </c>
      <c r="X22" s="256"/>
      <c r="Y22" s="258"/>
    </row>
    <row r="23" spans="1:25" s="298" customFormat="1" ht="24" customHeight="1">
      <c r="A23" s="284"/>
      <c r="B23" s="285" t="s">
        <v>174</v>
      </c>
      <c r="C23" s="286" t="s">
        <v>207</v>
      </c>
      <c r="D23" s="287" t="s">
        <v>175</v>
      </c>
      <c r="E23" s="284">
        <v>12</v>
      </c>
      <c r="F23" s="287" t="s">
        <v>176</v>
      </c>
      <c r="G23" s="288" t="s">
        <v>28</v>
      </c>
      <c r="H23" s="289" t="s">
        <v>5</v>
      </c>
      <c r="I23" s="284"/>
      <c r="J23" s="290">
        <v>600000000</v>
      </c>
      <c r="K23" s="284"/>
      <c r="L23" s="284"/>
      <c r="M23" s="291" t="s">
        <v>78</v>
      </c>
      <c r="N23" s="292">
        <f>50000000+50000000+50000000</f>
        <v>150000000</v>
      </c>
      <c r="O23" s="293">
        <f t="shared" si="0"/>
        <v>25</v>
      </c>
      <c r="P23" s="294" t="s">
        <v>139</v>
      </c>
      <c r="Q23" s="294" t="s">
        <v>309</v>
      </c>
      <c r="R23" s="292">
        <v>100000000</v>
      </c>
      <c r="S23" s="292">
        <v>50000000</v>
      </c>
      <c r="T23" s="295">
        <f>R23+S23</f>
        <v>150000000</v>
      </c>
      <c r="U23" s="293">
        <f t="shared" si="2"/>
        <v>100</v>
      </c>
      <c r="V23" s="296">
        <f t="shared" si="4"/>
        <v>450000000</v>
      </c>
      <c r="W23" s="293">
        <f t="shared" si="1"/>
        <v>75</v>
      </c>
      <c r="X23" s="284"/>
      <c r="Y23" s="297"/>
    </row>
    <row r="24" spans="1:35" s="26" customFormat="1" ht="16.5" customHeight="1">
      <c r="A24" s="260"/>
      <c r="B24" s="261" t="s">
        <v>6</v>
      </c>
      <c r="C24" s="260"/>
      <c r="D24" s="260"/>
      <c r="E24" s="260"/>
      <c r="F24" s="260"/>
      <c r="G24" s="260"/>
      <c r="H24" s="260"/>
      <c r="I24" s="260"/>
      <c r="J24" s="262">
        <f>J25+J73+J103</f>
        <v>10478985750</v>
      </c>
      <c r="K24" s="262"/>
      <c r="L24" s="262"/>
      <c r="M24" s="262"/>
      <c r="N24" s="262">
        <f>N25+N73+N103</f>
        <v>3363215420</v>
      </c>
      <c r="O24" s="302">
        <f>N24/J24*100</f>
        <v>32.09485631755917</v>
      </c>
      <c r="P24" s="262"/>
      <c r="Q24" s="262"/>
      <c r="R24" s="262">
        <f>R25+R73+R103</f>
        <v>841055811</v>
      </c>
      <c r="S24" s="262">
        <f>S25+S73+S103</f>
        <v>598433235</v>
      </c>
      <c r="T24" s="262">
        <f>T25+T73+T103</f>
        <v>1439489046</v>
      </c>
      <c r="U24" s="262">
        <f>T24/N24*100</f>
        <v>42.80097663205885</v>
      </c>
      <c r="V24" s="262">
        <f>V25+V73+V103</f>
        <v>9039496704</v>
      </c>
      <c r="W24" s="262">
        <f>V24/J24*100</f>
        <v>86.26308804742864</v>
      </c>
      <c r="X24" s="262"/>
      <c r="Y24" s="263"/>
      <c r="Z24" s="45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26" customFormat="1" ht="12" customHeight="1">
      <c r="A25" s="348" t="s">
        <v>18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1">
        <f>J27</f>
        <v>4264879350</v>
      </c>
      <c r="K25" s="351"/>
      <c r="L25" s="351"/>
      <c r="M25" s="351"/>
      <c r="N25" s="351">
        <f>N27</f>
        <v>1201358520</v>
      </c>
      <c r="O25" s="351">
        <f>N25/J25*100</f>
        <v>28.168640221909207</v>
      </c>
      <c r="P25" s="351"/>
      <c r="Q25" s="351"/>
      <c r="R25" s="351">
        <f>R27</f>
        <v>251391878</v>
      </c>
      <c r="S25" s="351">
        <f>S27</f>
        <v>323414029</v>
      </c>
      <c r="T25" s="351">
        <f>T27</f>
        <v>574805907</v>
      </c>
      <c r="U25" s="351">
        <v>0</v>
      </c>
      <c r="V25" s="351">
        <f>V27</f>
        <v>3690073443</v>
      </c>
      <c r="W25" s="351">
        <f>V25/J25*100</f>
        <v>86.52234073163172</v>
      </c>
      <c r="X25" s="351"/>
      <c r="Y25" s="52"/>
      <c r="Z25" s="45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26" customFormat="1" ht="13.5" customHeight="1">
      <c r="A26" s="348"/>
      <c r="B26" s="349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41"/>
      <c r="Z26" s="45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140" customFormat="1" ht="27.75" customHeight="1">
      <c r="A27" s="130"/>
      <c r="B27" s="131" t="s">
        <v>82</v>
      </c>
      <c r="C27" s="130" t="s">
        <v>107</v>
      </c>
      <c r="D27" s="132" t="s">
        <v>37</v>
      </c>
      <c r="E27" s="132" t="s">
        <v>140</v>
      </c>
      <c r="F27" s="132" t="s">
        <v>181</v>
      </c>
      <c r="G27" s="130" t="s">
        <v>28</v>
      </c>
      <c r="H27" s="132" t="s">
        <v>5</v>
      </c>
      <c r="I27" s="130" t="s">
        <v>28</v>
      </c>
      <c r="J27" s="133">
        <f>J28+J39</f>
        <v>4264879350</v>
      </c>
      <c r="K27" s="133"/>
      <c r="L27" s="133"/>
      <c r="M27" s="133"/>
      <c r="N27" s="133">
        <f>N28+N39</f>
        <v>1201358520</v>
      </c>
      <c r="O27" s="133">
        <f>N27/J27*100</f>
        <v>28.168640221909207</v>
      </c>
      <c r="P27" s="133"/>
      <c r="Q27" s="133"/>
      <c r="R27" s="133">
        <f>R28+R39</f>
        <v>251391878</v>
      </c>
      <c r="S27" s="133">
        <f>S28+S39</f>
        <v>323414029</v>
      </c>
      <c r="T27" s="133">
        <f>T28+T39</f>
        <v>574805907</v>
      </c>
      <c r="U27" s="133">
        <f>T27/N27*100</f>
        <v>47.846325424986375</v>
      </c>
      <c r="V27" s="133">
        <f>V28+V39</f>
        <v>3690073443</v>
      </c>
      <c r="W27" s="133">
        <f>V27/J27*100</f>
        <v>86.52234073163172</v>
      </c>
      <c r="X27" s="133"/>
      <c r="Y27" s="106"/>
      <c r="Z27" s="45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126" customFormat="1" ht="13.5">
      <c r="A28" s="118">
        <v>1</v>
      </c>
      <c r="B28" s="119" t="s">
        <v>83</v>
      </c>
      <c r="C28" s="118"/>
      <c r="D28" s="120"/>
      <c r="E28" s="120"/>
      <c r="F28" s="120"/>
      <c r="G28" s="118"/>
      <c r="H28" s="120"/>
      <c r="I28" s="118" t="s">
        <v>28</v>
      </c>
      <c r="J28" s="121">
        <f>J29+J37</f>
        <v>137744000</v>
      </c>
      <c r="K28" s="121"/>
      <c r="L28" s="121"/>
      <c r="M28" s="121"/>
      <c r="N28" s="121">
        <f>N29+N37</f>
        <v>34104250</v>
      </c>
      <c r="O28" s="121">
        <f>N28/J28*100</f>
        <v>24.759154663724008</v>
      </c>
      <c r="P28" s="121"/>
      <c r="Q28" s="121"/>
      <c r="R28" s="121">
        <f>R29+R37</f>
        <v>0</v>
      </c>
      <c r="S28" s="121">
        <f>S29+S37</f>
        <v>7069500</v>
      </c>
      <c r="T28" s="121">
        <f>T29+T37</f>
        <v>7069500</v>
      </c>
      <c r="U28" s="121">
        <f>T28/N28*100</f>
        <v>20.729088016889392</v>
      </c>
      <c r="V28" s="121">
        <f>V29+V37</f>
        <v>130674500</v>
      </c>
      <c r="W28" s="121">
        <f>V28/J28*100</f>
        <v>94.86765303751888</v>
      </c>
      <c r="X28" s="121"/>
      <c r="Y28" s="106"/>
      <c r="Z28" s="45"/>
      <c r="AA28" s="173"/>
      <c r="AB28" s="43"/>
      <c r="AC28" s="43"/>
      <c r="AD28" s="43"/>
      <c r="AE28" s="43"/>
      <c r="AF28" s="43"/>
      <c r="AG28" s="43"/>
      <c r="AH28" s="43"/>
      <c r="AI28" s="43"/>
    </row>
    <row r="29" spans="1:35" s="26" customFormat="1" ht="13.5">
      <c r="A29" s="10"/>
      <c r="B29" s="94" t="s">
        <v>84</v>
      </c>
      <c r="C29" s="10" t="s">
        <v>111</v>
      </c>
      <c r="D29" s="102" t="s">
        <v>37</v>
      </c>
      <c r="E29" s="102" t="s">
        <v>140</v>
      </c>
      <c r="F29" s="102" t="s">
        <v>181</v>
      </c>
      <c r="G29" s="10" t="s">
        <v>28</v>
      </c>
      <c r="H29" s="102" t="s">
        <v>5</v>
      </c>
      <c r="I29" s="102"/>
      <c r="J29" s="98">
        <f>SUM(J30:J36)</f>
        <v>42417000</v>
      </c>
      <c r="K29" s="105"/>
      <c r="L29" s="105"/>
      <c r="M29" s="105"/>
      <c r="N29" s="111">
        <f>SUM(N30:N36)</f>
        <v>10604250</v>
      </c>
      <c r="O29" s="195">
        <f>N29/J29*100</f>
        <v>25</v>
      </c>
      <c r="P29" s="170" t="s">
        <v>139</v>
      </c>
      <c r="Q29" s="170" t="s">
        <v>309</v>
      </c>
      <c r="R29" s="89">
        <f>SUM(R30:R36)</f>
        <v>0</v>
      </c>
      <c r="S29" s="89">
        <f>SUM(S30:S36)</f>
        <v>7069500</v>
      </c>
      <c r="T29" s="89">
        <f>SUM(T30:T36)</f>
        <v>7069500</v>
      </c>
      <c r="U29" s="204">
        <f>T29/N29*100</f>
        <v>66.66666666666666</v>
      </c>
      <c r="V29" s="86">
        <f>SUM(V30:V36)</f>
        <v>35347500</v>
      </c>
      <c r="W29" s="188">
        <f>V29/J29*100</f>
        <v>83.33333333333334</v>
      </c>
      <c r="X29" s="105"/>
      <c r="Y29" s="106"/>
      <c r="Z29" s="45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25" customFormat="1" ht="13.5">
      <c r="A30" s="9"/>
      <c r="B30" s="74" t="s">
        <v>85</v>
      </c>
      <c r="C30" s="9" t="s">
        <v>108</v>
      </c>
      <c r="D30" s="5" t="s">
        <v>37</v>
      </c>
      <c r="E30" s="5" t="s">
        <v>140</v>
      </c>
      <c r="F30" s="5" t="s">
        <v>181</v>
      </c>
      <c r="G30" s="9" t="s">
        <v>28</v>
      </c>
      <c r="H30" s="5" t="s">
        <v>5</v>
      </c>
      <c r="I30" s="9" t="s">
        <v>28</v>
      </c>
      <c r="J30" s="11">
        <v>10164000</v>
      </c>
      <c r="K30" s="36"/>
      <c r="L30" s="37"/>
      <c r="M30" s="7" t="s">
        <v>78</v>
      </c>
      <c r="N30" s="112">
        <f>847000+847000+847000</f>
        <v>2541000</v>
      </c>
      <c r="O30" s="196">
        <f>N30/J30*100</f>
        <v>25</v>
      </c>
      <c r="P30" s="91" t="s">
        <v>139</v>
      </c>
      <c r="Q30" s="91" t="s">
        <v>309</v>
      </c>
      <c r="R30" s="88"/>
      <c r="S30" s="88">
        <v>1694000</v>
      </c>
      <c r="T30" s="88">
        <f aca="true" t="shared" si="5" ref="T30:T36">R30+S30</f>
        <v>1694000</v>
      </c>
      <c r="U30" s="205">
        <v>0</v>
      </c>
      <c r="V30" s="8">
        <f>J30-T30</f>
        <v>8470000</v>
      </c>
      <c r="W30" s="189">
        <f aca="true" t="shared" si="6" ref="W30:W38">V30/J30*100</f>
        <v>83.33333333333334</v>
      </c>
      <c r="X30" s="7"/>
      <c r="Y30" s="38"/>
      <c r="Z30" s="46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25" customFormat="1" ht="17.25" customHeight="1">
      <c r="A31" s="9"/>
      <c r="B31" s="97" t="s">
        <v>142</v>
      </c>
      <c r="C31" s="9" t="s">
        <v>113</v>
      </c>
      <c r="D31" s="5" t="s">
        <v>37</v>
      </c>
      <c r="E31" s="5" t="s">
        <v>140</v>
      </c>
      <c r="F31" s="5" t="s">
        <v>181</v>
      </c>
      <c r="G31" s="9" t="s">
        <v>28</v>
      </c>
      <c r="H31" s="5" t="s">
        <v>5</v>
      </c>
      <c r="I31" s="5"/>
      <c r="J31" s="11">
        <v>2808000</v>
      </c>
      <c r="K31" s="7"/>
      <c r="L31" s="7"/>
      <c r="M31" s="7" t="s">
        <v>78</v>
      </c>
      <c r="N31" s="53">
        <f>234000+234000+234000</f>
        <v>702000</v>
      </c>
      <c r="O31" s="196">
        <f aca="true" t="shared" si="7" ref="O31:O37">N31/J31*100</f>
        <v>25</v>
      </c>
      <c r="P31" s="91" t="s">
        <v>139</v>
      </c>
      <c r="Q31" s="91" t="s">
        <v>309</v>
      </c>
      <c r="R31" s="88"/>
      <c r="S31" s="88">
        <v>468000</v>
      </c>
      <c r="T31" s="88">
        <f t="shared" si="5"/>
        <v>468000</v>
      </c>
      <c r="U31" s="205">
        <f aca="true" t="shared" si="8" ref="U31:U50">T31/N31*100</f>
        <v>66.66666666666666</v>
      </c>
      <c r="V31" s="8">
        <f aca="true" t="shared" si="9" ref="V31:V36">J31-T31</f>
        <v>2340000</v>
      </c>
      <c r="W31" s="189">
        <f t="shared" si="6"/>
        <v>83.33333333333334</v>
      </c>
      <c r="X31" s="7"/>
      <c r="Y31" s="38"/>
      <c r="Z31" s="46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25" customFormat="1" ht="13.5">
      <c r="A32" s="9"/>
      <c r="B32" s="74" t="s">
        <v>86</v>
      </c>
      <c r="C32" s="9" t="s">
        <v>109</v>
      </c>
      <c r="D32" s="5" t="s">
        <v>37</v>
      </c>
      <c r="E32" s="5" t="s">
        <v>140</v>
      </c>
      <c r="F32" s="5" t="s">
        <v>181</v>
      </c>
      <c r="G32" s="9" t="s">
        <v>28</v>
      </c>
      <c r="H32" s="5" t="s">
        <v>5</v>
      </c>
      <c r="I32" s="9" t="s">
        <v>28</v>
      </c>
      <c r="J32" s="11">
        <v>1200000</v>
      </c>
      <c r="K32" s="36"/>
      <c r="L32" s="37"/>
      <c r="M32" s="7" t="s">
        <v>78</v>
      </c>
      <c r="N32" s="112">
        <f>100000+100000+100000</f>
        <v>300000</v>
      </c>
      <c r="O32" s="196">
        <f t="shared" si="7"/>
        <v>25</v>
      </c>
      <c r="P32" s="91" t="s">
        <v>139</v>
      </c>
      <c r="Q32" s="91" t="s">
        <v>309</v>
      </c>
      <c r="R32" s="88"/>
      <c r="S32" s="88">
        <v>200000</v>
      </c>
      <c r="T32" s="88">
        <f t="shared" si="5"/>
        <v>200000</v>
      </c>
      <c r="U32" s="205">
        <f t="shared" si="8"/>
        <v>66.66666666666666</v>
      </c>
      <c r="V32" s="8">
        <f t="shared" si="9"/>
        <v>1000000</v>
      </c>
      <c r="W32" s="189">
        <f t="shared" si="6"/>
        <v>83.33333333333334</v>
      </c>
      <c r="X32" s="7"/>
      <c r="Y32" s="38"/>
      <c r="Z32" s="46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25" customFormat="1" ht="13.5">
      <c r="A33" s="9"/>
      <c r="B33" s="6" t="s">
        <v>145</v>
      </c>
      <c r="C33" s="9" t="s">
        <v>146</v>
      </c>
      <c r="D33" s="5" t="s">
        <v>37</v>
      </c>
      <c r="E33" s="5" t="s">
        <v>140</v>
      </c>
      <c r="F33" s="5" t="s">
        <v>181</v>
      </c>
      <c r="G33" s="9" t="s">
        <v>28</v>
      </c>
      <c r="H33" s="5" t="s">
        <v>5</v>
      </c>
      <c r="I33" s="9"/>
      <c r="J33" s="11">
        <v>8772000</v>
      </c>
      <c r="K33" s="36"/>
      <c r="L33" s="37"/>
      <c r="M33" s="7" t="s">
        <v>78</v>
      </c>
      <c r="N33" s="112">
        <f>731000+731000+731000</f>
        <v>2193000</v>
      </c>
      <c r="O33" s="196">
        <f t="shared" si="7"/>
        <v>25</v>
      </c>
      <c r="P33" s="91" t="s">
        <v>139</v>
      </c>
      <c r="Q33" s="91" t="s">
        <v>309</v>
      </c>
      <c r="R33" s="88"/>
      <c r="S33" s="88">
        <v>1462000</v>
      </c>
      <c r="T33" s="88">
        <f t="shared" si="5"/>
        <v>1462000</v>
      </c>
      <c r="U33" s="205">
        <f t="shared" si="8"/>
        <v>66.66666666666666</v>
      </c>
      <c r="V33" s="8">
        <f t="shared" si="9"/>
        <v>7310000</v>
      </c>
      <c r="W33" s="189">
        <f t="shared" si="6"/>
        <v>83.33333333333334</v>
      </c>
      <c r="X33" s="7"/>
      <c r="Y33" s="38"/>
      <c r="Z33" s="46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25" customFormat="1" ht="13.5">
      <c r="A34" s="9"/>
      <c r="B34" s="6" t="s">
        <v>148</v>
      </c>
      <c r="C34" s="9" t="s">
        <v>147</v>
      </c>
      <c r="D34" s="5" t="s">
        <v>37</v>
      </c>
      <c r="E34" s="5" t="s">
        <v>140</v>
      </c>
      <c r="F34" s="5" t="s">
        <v>181</v>
      </c>
      <c r="G34" s="9" t="s">
        <v>28</v>
      </c>
      <c r="H34" s="5" t="s">
        <v>5</v>
      </c>
      <c r="I34" s="9"/>
      <c r="J34" s="11">
        <v>8775000</v>
      </c>
      <c r="K34" s="36"/>
      <c r="L34" s="37"/>
      <c r="M34" s="7" t="s">
        <v>78</v>
      </c>
      <c r="N34" s="177">
        <f>731250+731250+731250</f>
        <v>2193750</v>
      </c>
      <c r="O34" s="196">
        <f t="shared" si="7"/>
        <v>25</v>
      </c>
      <c r="P34" s="91" t="s">
        <v>139</v>
      </c>
      <c r="Q34" s="91" t="s">
        <v>309</v>
      </c>
      <c r="R34" s="88"/>
      <c r="S34" s="88">
        <v>1462500</v>
      </c>
      <c r="T34" s="88">
        <f t="shared" si="5"/>
        <v>1462500</v>
      </c>
      <c r="U34" s="205">
        <f t="shared" si="8"/>
        <v>66.66666666666666</v>
      </c>
      <c r="V34" s="8">
        <f t="shared" si="9"/>
        <v>7312500</v>
      </c>
      <c r="W34" s="189">
        <f t="shared" si="6"/>
        <v>83.33333333333334</v>
      </c>
      <c r="X34" s="7"/>
      <c r="Y34" s="38"/>
      <c r="Z34" s="46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s="25" customFormat="1" ht="13.5">
      <c r="A35" s="9"/>
      <c r="B35" s="6" t="s">
        <v>177</v>
      </c>
      <c r="C35" s="9" t="s">
        <v>179</v>
      </c>
      <c r="D35" s="5" t="s">
        <v>37</v>
      </c>
      <c r="E35" s="5" t="s">
        <v>140</v>
      </c>
      <c r="F35" s="5" t="s">
        <v>181</v>
      </c>
      <c r="G35" s="9"/>
      <c r="H35" s="5"/>
      <c r="I35" s="9"/>
      <c r="J35" s="11">
        <v>6348000</v>
      </c>
      <c r="K35" s="36"/>
      <c r="L35" s="37"/>
      <c r="M35" s="7" t="s">
        <v>78</v>
      </c>
      <c r="N35" s="177">
        <f>529000+529000+529000</f>
        <v>1587000</v>
      </c>
      <c r="O35" s="196">
        <f t="shared" si="7"/>
        <v>25</v>
      </c>
      <c r="P35" s="91" t="s">
        <v>139</v>
      </c>
      <c r="Q35" s="91" t="s">
        <v>309</v>
      </c>
      <c r="R35" s="88"/>
      <c r="S35" s="88">
        <v>1058000</v>
      </c>
      <c r="T35" s="88">
        <f t="shared" si="5"/>
        <v>1058000</v>
      </c>
      <c r="U35" s="205">
        <f t="shared" si="8"/>
        <v>66.66666666666666</v>
      </c>
      <c r="V35" s="8">
        <f t="shared" si="9"/>
        <v>5290000</v>
      </c>
      <c r="W35" s="189">
        <f t="shared" si="6"/>
        <v>83.33333333333334</v>
      </c>
      <c r="X35" s="7"/>
      <c r="Y35" s="38"/>
      <c r="Z35" s="46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5" customFormat="1" ht="13.5">
      <c r="A36" s="9"/>
      <c r="B36" s="6" t="s">
        <v>178</v>
      </c>
      <c r="C36" s="9" t="s">
        <v>180</v>
      </c>
      <c r="D36" s="5" t="s">
        <v>37</v>
      </c>
      <c r="E36" s="5" t="s">
        <v>140</v>
      </c>
      <c r="F36" s="5" t="s">
        <v>181</v>
      </c>
      <c r="G36" s="9"/>
      <c r="H36" s="5"/>
      <c r="I36" s="9"/>
      <c r="J36" s="11">
        <v>4350000</v>
      </c>
      <c r="K36" s="36"/>
      <c r="L36" s="37"/>
      <c r="M36" s="7" t="s">
        <v>78</v>
      </c>
      <c r="N36" s="177">
        <f>362500+362500+362500</f>
        <v>1087500</v>
      </c>
      <c r="O36" s="196">
        <f t="shared" si="7"/>
        <v>25</v>
      </c>
      <c r="P36" s="91" t="s">
        <v>139</v>
      </c>
      <c r="Q36" s="91" t="s">
        <v>309</v>
      </c>
      <c r="R36" s="88"/>
      <c r="S36" s="88">
        <v>725000</v>
      </c>
      <c r="T36" s="88">
        <f t="shared" si="5"/>
        <v>725000</v>
      </c>
      <c r="U36" s="205">
        <f t="shared" si="8"/>
        <v>66.66666666666666</v>
      </c>
      <c r="V36" s="8">
        <f t="shared" si="9"/>
        <v>3625000</v>
      </c>
      <c r="W36" s="189">
        <f t="shared" si="6"/>
        <v>83.33333333333334</v>
      </c>
      <c r="X36" s="7"/>
      <c r="Y36" s="38"/>
      <c r="Z36" s="46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26" customFormat="1" ht="13.5">
      <c r="A37" s="10"/>
      <c r="B37" s="94" t="s">
        <v>160</v>
      </c>
      <c r="C37" s="10" t="s">
        <v>161</v>
      </c>
      <c r="D37" s="102" t="s">
        <v>37</v>
      </c>
      <c r="E37" s="102" t="s">
        <v>140</v>
      </c>
      <c r="F37" s="102" t="s">
        <v>181</v>
      </c>
      <c r="G37" s="10" t="s">
        <v>28</v>
      </c>
      <c r="H37" s="102" t="s">
        <v>5</v>
      </c>
      <c r="I37" s="10"/>
      <c r="J37" s="98">
        <f>J38</f>
        <v>95327000</v>
      </c>
      <c r="K37" s="103"/>
      <c r="L37" s="104"/>
      <c r="M37" s="105"/>
      <c r="N37" s="179">
        <f>N38</f>
        <v>23500000</v>
      </c>
      <c r="O37" s="195">
        <f t="shared" si="7"/>
        <v>24.6519873697903</v>
      </c>
      <c r="P37" s="170" t="s">
        <v>139</v>
      </c>
      <c r="Q37" s="170" t="s">
        <v>309</v>
      </c>
      <c r="R37" s="89">
        <f>R38</f>
        <v>0</v>
      </c>
      <c r="S37" s="88">
        <f>S38</f>
        <v>0</v>
      </c>
      <c r="T37" s="89">
        <f>T38</f>
        <v>0</v>
      </c>
      <c r="U37" s="204">
        <f t="shared" si="8"/>
        <v>0</v>
      </c>
      <c r="V37" s="86">
        <f>V38</f>
        <v>95327000</v>
      </c>
      <c r="W37" s="188">
        <f t="shared" si="6"/>
        <v>100</v>
      </c>
      <c r="X37" s="105"/>
      <c r="Y37" s="106"/>
      <c r="Z37" s="45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25" customFormat="1" ht="13.5">
      <c r="A38" s="9"/>
      <c r="B38" s="6" t="s">
        <v>159</v>
      </c>
      <c r="C38" s="9" t="s">
        <v>110</v>
      </c>
      <c r="D38" s="5" t="s">
        <v>37</v>
      </c>
      <c r="E38" s="5" t="s">
        <v>140</v>
      </c>
      <c r="F38" s="5" t="s">
        <v>181</v>
      </c>
      <c r="G38" s="9" t="s">
        <v>28</v>
      </c>
      <c r="H38" s="5" t="s">
        <v>5</v>
      </c>
      <c r="I38" s="9"/>
      <c r="J38" s="11">
        <v>95327000</v>
      </c>
      <c r="K38" s="36"/>
      <c r="L38" s="37"/>
      <c r="M38" s="7" t="s">
        <v>78</v>
      </c>
      <c r="N38" s="177">
        <f>8000000+8000000+7500000</f>
        <v>23500000</v>
      </c>
      <c r="O38" s="196">
        <f aca="true" t="shared" si="10" ref="O38:O53">N38/J38*100</f>
        <v>24.6519873697903</v>
      </c>
      <c r="P38" s="91" t="s">
        <v>139</v>
      </c>
      <c r="Q38" s="91" t="s">
        <v>309</v>
      </c>
      <c r="R38" s="88"/>
      <c r="S38" s="88"/>
      <c r="T38" s="88">
        <f>R38+S38</f>
        <v>0</v>
      </c>
      <c r="U38" s="204">
        <f t="shared" si="8"/>
        <v>0</v>
      </c>
      <c r="V38" s="8">
        <f>J38-T38</f>
        <v>95327000</v>
      </c>
      <c r="W38" s="189">
        <f t="shared" si="6"/>
        <v>100</v>
      </c>
      <c r="X38" s="7"/>
      <c r="Y38" s="38"/>
      <c r="Z38" s="46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26" customFormat="1" ht="13.5">
      <c r="A39" s="118">
        <v>2</v>
      </c>
      <c r="B39" s="119" t="s">
        <v>79</v>
      </c>
      <c r="C39" s="118"/>
      <c r="D39" s="120"/>
      <c r="E39" s="120"/>
      <c r="F39" s="120"/>
      <c r="G39" s="118"/>
      <c r="H39" s="120"/>
      <c r="I39" s="118"/>
      <c r="J39" s="121">
        <f>J40+J45+J53+J56+J59+J64+J67+J70</f>
        <v>4127135350</v>
      </c>
      <c r="K39" s="121"/>
      <c r="L39" s="121"/>
      <c r="M39" s="121"/>
      <c r="N39" s="121">
        <f>N40+N45+N53+N56+N59+N64+N67+N70</f>
        <v>1167254270</v>
      </c>
      <c r="O39" s="121">
        <f t="shared" si="10"/>
        <v>28.282432510966714</v>
      </c>
      <c r="P39" s="121"/>
      <c r="Q39" s="121"/>
      <c r="R39" s="123">
        <f>R40+R45+R53+R56+R59+R64+R67+R70</f>
        <v>251391878</v>
      </c>
      <c r="S39" s="123">
        <f>S40+S45+S53+S56+S59+S64+S67+S70</f>
        <v>316344529</v>
      </c>
      <c r="T39" s="123">
        <f>T40+T45+T53+T56+T59+T64+T67+T70</f>
        <v>567736407</v>
      </c>
      <c r="U39" s="203">
        <f t="shared" si="8"/>
        <v>48.638623271003325</v>
      </c>
      <c r="V39" s="121">
        <f>V40+V45+V53+V56+V59+V64+V67+V70</f>
        <v>3559398943</v>
      </c>
      <c r="W39" s="121">
        <f>V39/J39*100</f>
        <v>86.24381419911514</v>
      </c>
      <c r="X39" s="121"/>
      <c r="Y39" s="106"/>
      <c r="Z39" s="45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26" customFormat="1" ht="13.5">
      <c r="A40" s="10"/>
      <c r="B40" s="94" t="s">
        <v>87</v>
      </c>
      <c r="C40" s="10" t="s">
        <v>112</v>
      </c>
      <c r="D40" s="102" t="s">
        <v>37</v>
      </c>
      <c r="E40" s="102" t="s">
        <v>140</v>
      </c>
      <c r="F40" s="102" t="s">
        <v>181</v>
      </c>
      <c r="G40" s="10" t="s">
        <v>28</v>
      </c>
      <c r="H40" s="102" t="s">
        <v>5</v>
      </c>
      <c r="I40" s="10" t="s">
        <v>28</v>
      </c>
      <c r="J40" s="264">
        <f>SUM(J41:J44)</f>
        <v>46936570</v>
      </c>
      <c r="K40" s="104"/>
      <c r="L40" s="104"/>
      <c r="M40" s="105"/>
      <c r="N40" s="110">
        <f>SUM(N41:N44)</f>
        <v>20330950</v>
      </c>
      <c r="O40" s="195">
        <f t="shared" si="10"/>
        <v>43.315798321010675</v>
      </c>
      <c r="P40" s="170" t="s">
        <v>139</v>
      </c>
      <c r="Q40" s="170" t="s">
        <v>309</v>
      </c>
      <c r="R40" s="89">
        <f>SUM(R41:R44)</f>
        <v>1410500</v>
      </c>
      <c r="S40" s="89">
        <f>SUM(S41:S43)</f>
        <v>12608500</v>
      </c>
      <c r="T40" s="89">
        <f>SUM(T41:T44)</f>
        <v>14019000</v>
      </c>
      <c r="U40" s="204">
        <f t="shared" si="8"/>
        <v>68.95398395057781</v>
      </c>
      <c r="V40" s="86">
        <f>SUM(V41:V44)</f>
        <v>32917570</v>
      </c>
      <c r="W40" s="303">
        <f>V40/J40*100</f>
        <v>70.13203137766565</v>
      </c>
      <c r="X40" s="105"/>
      <c r="Y40" s="106"/>
      <c r="Z40" s="45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25" customFormat="1" ht="13.5">
      <c r="A41" s="9"/>
      <c r="B41" s="6" t="s">
        <v>182</v>
      </c>
      <c r="C41" s="9" t="s">
        <v>134</v>
      </c>
      <c r="D41" s="5" t="s">
        <v>37</v>
      </c>
      <c r="E41" s="5" t="s">
        <v>306</v>
      </c>
      <c r="F41" s="5" t="s">
        <v>181</v>
      </c>
      <c r="G41" s="9" t="s">
        <v>28</v>
      </c>
      <c r="H41" s="5" t="s">
        <v>5</v>
      </c>
      <c r="I41" s="9"/>
      <c r="J41" s="265">
        <v>10720000</v>
      </c>
      <c r="K41" s="37"/>
      <c r="L41" s="37"/>
      <c r="M41" s="7" t="s">
        <v>78</v>
      </c>
      <c r="N41" s="112">
        <v>10720000</v>
      </c>
      <c r="O41" s="196">
        <f t="shared" si="10"/>
        <v>100</v>
      </c>
      <c r="P41" s="91" t="s">
        <v>139</v>
      </c>
      <c r="Q41" s="91" t="s">
        <v>309</v>
      </c>
      <c r="R41" s="88"/>
      <c r="S41" s="88">
        <v>10400000</v>
      </c>
      <c r="T41" s="88">
        <f>R41+S41</f>
        <v>10400000</v>
      </c>
      <c r="U41" s="204">
        <f t="shared" si="8"/>
        <v>97.01492537313433</v>
      </c>
      <c r="V41" s="8">
        <f>J41-T41</f>
        <v>320000</v>
      </c>
      <c r="W41" s="304">
        <f>V41/J41*100</f>
        <v>2.9850746268656714</v>
      </c>
      <c r="X41" s="7"/>
      <c r="Y41" s="38"/>
      <c r="Z41" s="46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25" customFormat="1" ht="14.25" customHeight="1">
      <c r="A42" s="9"/>
      <c r="B42" s="73" t="s">
        <v>88</v>
      </c>
      <c r="C42" s="9" t="s">
        <v>113</v>
      </c>
      <c r="D42" s="5" t="s">
        <v>37</v>
      </c>
      <c r="E42" s="5" t="s">
        <v>140</v>
      </c>
      <c r="F42" s="5" t="s">
        <v>181</v>
      </c>
      <c r="G42" s="9" t="s">
        <v>28</v>
      </c>
      <c r="H42" s="5" t="s">
        <v>5</v>
      </c>
      <c r="I42" s="5"/>
      <c r="J42" s="265">
        <v>10500000</v>
      </c>
      <c r="K42" s="7"/>
      <c r="L42" s="7"/>
      <c r="M42" s="7" t="s">
        <v>78</v>
      </c>
      <c r="N42" s="112">
        <f>875000+875000+1460000</f>
        <v>3210000</v>
      </c>
      <c r="O42" s="196">
        <f t="shared" si="10"/>
        <v>30.571428571428573</v>
      </c>
      <c r="P42" s="91" t="s">
        <v>139</v>
      </c>
      <c r="Q42" s="91" t="s">
        <v>309</v>
      </c>
      <c r="R42" s="88">
        <v>900000</v>
      </c>
      <c r="S42" s="88">
        <v>1725000</v>
      </c>
      <c r="T42" s="88">
        <f>R42+S42</f>
        <v>2625000</v>
      </c>
      <c r="U42" s="204">
        <f t="shared" si="8"/>
        <v>81.77570093457945</v>
      </c>
      <c r="V42" s="8">
        <f>J42-T42</f>
        <v>7875000</v>
      </c>
      <c r="W42" s="304">
        <f aca="true" t="shared" si="11" ref="W42:W72">V42/J42*100</f>
        <v>75</v>
      </c>
      <c r="X42" s="7"/>
      <c r="Y42" s="38"/>
      <c r="Z42" s="46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25" customFormat="1" ht="15" customHeight="1">
      <c r="A43" s="9"/>
      <c r="B43" s="73" t="s">
        <v>89</v>
      </c>
      <c r="C43" s="9" t="s">
        <v>109</v>
      </c>
      <c r="D43" s="5" t="s">
        <v>37</v>
      </c>
      <c r="E43" s="5" t="s">
        <v>140</v>
      </c>
      <c r="F43" s="5" t="s">
        <v>181</v>
      </c>
      <c r="G43" s="9" t="s">
        <v>28</v>
      </c>
      <c r="H43" s="5" t="s">
        <v>5</v>
      </c>
      <c r="I43" s="9" t="s">
        <v>28</v>
      </c>
      <c r="J43" s="265">
        <v>5711570</v>
      </c>
      <c r="K43" s="36"/>
      <c r="L43" s="37"/>
      <c r="M43" s="7" t="s">
        <v>78</v>
      </c>
      <c r="N43" s="112">
        <f>475950+475000+500000</f>
        <v>1450950</v>
      </c>
      <c r="O43" s="196">
        <f t="shared" si="10"/>
        <v>25.403698107525603</v>
      </c>
      <c r="P43" s="91" t="s">
        <v>139</v>
      </c>
      <c r="Q43" s="91" t="s">
        <v>309</v>
      </c>
      <c r="R43" s="88">
        <v>510500</v>
      </c>
      <c r="S43" s="88">
        <v>483500</v>
      </c>
      <c r="T43" s="88">
        <f aca="true" t="shared" si="12" ref="T43:T72">R43+S43</f>
        <v>994000</v>
      </c>
      <c r="U43" s="204">
        <f t="shared" si="8"/>
        <v>68.50684034598022</v>
      </c>
      <c r="V43" s="8">
        <f aca="true" t="shared" si="13" ref="V43:V72">J43-T43</f>
        <v>4717570</v>
      </c>
      <c r="W43" s="304">
        <f t="shared" si="11"/>
        <v>82.59672909550264</v>
      </c>
      <c r="X43" s="7"/>
      <c r="Y43" s="38"/>
      <c r="Z43" s="46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25" customFormat="1" ht="15" customHeight="1">
      <c r="A44" s="9"/>
      <c r="B44" s="266" t="s">
        <v>183</v>
      </c>
      <c r="C44" s="9" t="s">
        <v>206</v>
      </c>
      <c r="D44" s="5" t="s">
        <v>37</v>
      </c>
      <c r="E44" s="5" t="s">
        <v>140</v>
      </c>
      <c r="F44" s="5" t="s">
        <v>181</v>
      </c>
      <c r="G44" s="9" t="s">
        <v>28</v>
      </c>
      <c r="H44" s="5" t="s">
        <v>5</v>
      </c>
      <c r="I44" s="9"/>
      <c r="J44" s="265">
        <v>20005000</v>
      </c>
      <c r="K44" s="36"/>
      <c r="L44" s="37"/>
      <c r="M44" s="7" t="s">
        <v>78</v>
      </c>
      <c r="N44" s="112">
        <f>1650000+1650000+1650000</f>
        <v>4950000</v>
      </c>
      <c r="O44" s="196">
        <f t="shared" si="10"/>
        <v>24.743814046488378</v>
      </c>
      <c r="P44" s="91" t="s">
        <v>139</v>
      </c>
      <c r="Q44" s="91" t="s">
        <v>309</v>
      </c>
      <c r="R44" s="88"/>
      <c r="S44" s="88">
        <v>0</v>
      </c>
      <c r="T44" s="88">
        <f t="shared" si="12"/>
        <v>0</v>
      </c>
      <c r="U44" s="204">
        <f t="shared" si="8"/>
        <v>0</v>
      </c>
      <c r="V44" s="8">
        <f t="shared" si="13"/>
        <v>20005000</v>
      </c>
      <c r="W44" s="304">
        <f t="shared" si="11"/>
        <v>100</v>
      </c>
      <c r="X44" s="7"/>
      <c r="Y44" s="38"/>
      <c r="Z44" s="46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26" customFormat="1" ht="15" customHeight="1">
      <c r="A45" s="10"/>
      <c r="B45" s="267" t="s">
        <v>106</v>
      </c>
      <c r="C45" s="159">
        <v>2003</v>
      </c>
      <c r="D45" s="102" t="s">
        <v>37</v>
      </c>
      <c r="E45" s="102" t="s">
        <v>140</v>
      </c>
      <c r="F45" s="102" t="s">
        <v>181</v>
      </c>
      <c r="G45" s="10" t="s">
        <v>28</v>
      </c>
      <c r="H45" s="102" t="s">
        <v>5</v>
      </c>
      <c r="I45" s="10"/>
      <c r="J45" s="264">
        <f>SUM(J46:J52)</f>
        <v>846735000</v>
      </c>
      <c r="K45" s="103"/>
      <c r="L45" s="104"/>
      <c r="M45" s="105"/>
      <c r="N45" s="110">
        <f>SUM(N46:N52)</f>
        <v>207260000</v>
      </c>
      <c r="O45" s="195">
        <f t="shared" si="10"/>
        <v>24.47755200859773</v>
      </c>
      <c r="P45" s="170" t="s">
        <v>139</v>
      </c>
      <c r="Q45" s="170" t="s">
        <v>309</v>
      </c>
      <c r="R45" s="89">
        <f>SUM(R46:R52)</f>
        <v>45378379</v>
      </c>
      <c r="S45" s="89">
        <f>SUM(S46:S52)</f>
        <v>44314520</v>
      </c>
      <c r="T45" s="89">
        <f t="shared" si="12"/>
        <v>89692899</v>
      </c>
      <c r="U45" s="204">
        <f t="shared" si="8"/>
        <v>43.2755471388594</v>
      </c>
      <c r="V45" s="86">
        <f>SUM(V46:V52)</f>
        <v>757042101</v>
      </c>
      <c r="W45" s="303">
        <f t="shared" si="11"/>
        <v>89.40720544208047</v>
      </c>
      <c r="X45" s="105"/>
      <c r="Y45" s="106"/>
      <c r="Z45" s="45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25" customFormat="1" ht="15" customHeight="1">
      <c r="A46" s="9"/>
      <c r="B46" s="266" t="s">
        <v>90</v>
      </c>
      <c r="C46" s="9" t="s">
        <v>110</v>
      </c>
      <c r="D46" s="5" t="s">
        <v>37</v>
      </c>
      <c r="E46" s="5" t="s">
        <v>140</v>
      </c>
      <c r="F46" s="5" t="s">
        <v>181</v>
      </c>
      <c r="G46" s="9" t="s">
        <v>28</v>
      </c>
      <c r="H46" s="5" t="s">
        <v>5</v>
      </c>
      <c r="I46" s="9"/>
      <c r="J46" s="265">
        <v>134160000</v>
      </c>
      <c r="K46" s="36"/>
      <c r="L46" s="37"/>
      <c r="M46" s="7" t="s">
        <v>78</v>
      </c>
      <c r="N46" s="112">
        <f>8080000+8080000+11750000</f>
        <v>27910000</v>
      </c>
      <c r="O46" s="196">
        <f t="shared" si="10"/>
        <v>20.803518187239117</v>
      </c>
      <c r="P46" s="91" t="s">
        <v>139</v>
      </c>
      <c r="Q46" s="91" t="s">
        <v>309</v>
      </c>
      <c r="R46" s="88">
        <f>7517007+5935785+153000</f>
        <v>13605792</v>
      </c>
      <c r="S46" s="88">
        <v>13226846</v>
      </c>
      <c r="T46" s="88">
        <f t="shared" si="12"/>
        <v>26832638</v>
      </c>
      <c r="U46" s="204">
        <f t="shared" si="8"/>
        <v>96.13987101397349</v>
      </c>
      <c r="V46" s="8">
        <f t="shared" si="13"/>
        <v>107327362</v>
      </c>
      <c r="W46" s="304">
        <f t="shared" si="11"/>
        <v>79.9995244484198</v>
      </c>
      <c r="X46" s="7"/>
      <c r="Y46" s="38"/>
      <c r="Z46" s="46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5" customFormat="1" ht="15" customHeight="1">
      <c r="A47" s="9"/>
      <c r="B47" s="266" t="s">
        <v>184</v>
      </c>
      <c r="C47" s="9" t="s">
        <v>207</v>
      </c>
      <c r="D47" s="5" t="s">
        <v>37</v>
      </c>
      <c r="E47" s="5" t="s">
        <v>140</v>
      </c>
      <c r="F47" s="5" t="s">
        <v>181</v>
      </c>
      <c r="G47" s="9" t="s">
        <v>28</v>
      </c>
      <c r="H47" s="5" t="s">
        <v>5</v>
      </c>
      <c r="I47" s="9"/>
      <c r="J47" s="265">
        <v>48000000</v>
      </c>
      <c r="K47" s="36"/>
      <c r="L47" s="37"/>
      <c r="M47" s="7" t="s">
        <v>221</v>
      </c>
      <c r="N47" s="112">
        <f>4000000+4000000+4000000</f>
        <v>12000000</v>
      </c>
      <c r="O47" s="196">
        <f t="shared" si="10"/>
        <v>25</v>
      </c>
      <c r="P47" s="91" t="s">
        <v>139</v>
      </c>
      <c r="Q47" s="91" t="s">
        <v>309</v>
      </c>
      <c r="R47" s="88">
        <v>2942650</v>
      </c>
      <c r="S47" s="88">
        <v>2931600</v>
      </c>
      <c r="T47" s="88">
        <f t="shared" si="12"/>
        <v>5874250</v>
      </c>
      <c r="U47" s="204">
        <f t="shared" si="8"/>
        <v>48.952083333333334</v>
      </c>
      <c r="V47" s="8">
        <f t="shared" si="13"/>
        <v>42125750</v>
      </c>
      <c r="W47" s="304">
        <f t="shared" si="11"/>
        <v>87.76197916666668</v>
      </c>
      <c r="X47" s="7"/>
      <c r="Y47" s="38"/>
      <c r="Z47" s="46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25" customFormat="1" ht="15" customHeight="1">
      <c r="A48" s="9"/>
      <c r="B48" s="266" t="s">
        <v>185</v>
      </c>
      <c r="C48" s="9" t="s">
        <v>208</v>
      </c>
      <c r="D48" s="5" t="s">
        <v>37</v>
      </c>
      <c r="E48" s="5" t="s">
        <v>140</v>
      </c>
      <c r="F48" s="5" t="s">
        <v>181</v>
      </c>
      <c r="G48" s="9" t="s">
        <v>28</v>
      </c>
      <c r="H48" s="5" t="s">
        <v>5</v>
      </c>
      <c r="I48" s="9"/>
      <c r="J48" s="265">
        <v>531900000</v>
      </c>
      <c r="K48" s="36"/>
      <c r="L48" s="37"/>
      <c r="M48" s="7" t="s">
        <v>221</v>
      </c>
      <c r="N48" s="112">
        <f>44325000+44325000+44325000</f>
        <v>132975000</v>
      </c>
      <c r="O48" s="196">
        <f t="shared" si="10"/>
        <v>25</v>
      </c>
      <c r="P48" s="91" t="s">
        <v>139</v>
      </c>
      <c r="Q48" s="91" t="s">
        <v>309</v>
      </c>
      <c r="R48" s="88">
        <v>24464937</v>
      </c>
      <c r="S48" s="88">
        <v>25591074</v>
      </c>
      <c r="T48" s="88">
        <f t="shared" si="12"/>
        <v>50056011</v>
      </c>
      <c r="U48" s="204">
        <f t="shared" si="8"/>
        <v>37.64317428087986</v>
      </c>
      <c r="V48" s="8">
        <f t="shared" si="13"/>
        <v>481843989</v>
      </c>
      <c r="W48" s="304">
        <f t="shared" si="11"/>
        <v>90.58920642978003</v>
      </c>
      <c r="X48" s="7"/>
      <c r="Y48" s="38"/>
      <c r="Z48" s="46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25" customFormat="1" ht="15" customHeight="1">
      <c r="A49" s="9"/>
      <c r="B49" s="266" t="s">
        <v>186</v>
      </c>
      <c r="C49" s="9" t="s">
        <v>209</v>
      </c>
      <c r="D49" s="5" t="s">
        <v>37</v>
      </c>
      <c r="E49" s="5" t="s">
        <v>140</v>
      </c>
      <c r="F49" s="5" t="s">
        <v>181</v>
      </c>
      <c r="G49" s="9" t="s">
        <v>28</v>
      </c>
      <c r="H49" s="5" t="s">
        <v>5</v>
      </c>
      <c r="I49" s="9"/>
      <c r="J49" s="265">
        <v>50400000</v>
      </c>
      <c r="K49" s="36"/>
      <c r="L49" s="37"/>
      <c r="M49" s="7" t="s">
        <v>78</v>
      </c>
      <c r="N49" s="112">
        <f>4200000+4200000+4200000</f>
        <v>12600000</v>
      </c>
      <c r="O49" s="196">
        <f t="shared" si="10"/>
        <v>25</v>
      </c>
      <c r="P49" s="91" t="s">
        <v>139</v>
      </c>
      <c r="Q49" s="91" t="s">
        <v>309</v>
      </c>
      <c r="R49" s="88">
        <v>2760000</v>
      </c>
      <c r="S49" s="88">
        <v>2460000</v>
      </c>
      <c r="T49" s="88">
        <f t="shared" si="12"/>
        <v>5220000</v>
      </c>
      <c r="U49" s="204">
        <f t="shared" si="8"/>
        <v>41.42857142857143</v>
      </c>
      <c r="V49" s="8">
        <f t="shared" si="13"/>
        <v>45180000</v>
      </c>
      <c r="W49" s="304">
        <f t="shared" si="11"/>
        <v>89.64285714285715</v>
      </c>
      <c r="X49" s="7"/>
      <c r="Y49" s="38"/>
      <c r="Z49" s="46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25" customFormat="1" ht="15" customHeight="1">
      <c r="A50" s="9"/>
      <c r="B50" s="266" t="s">
        <v>187</v>
      </c>
      <c r="C50" s="9" t="s">
        <v>115</v>
      </c>
      <c r="D50" s="5" t="s">
        <v>37</v>
      </c>
      <c r="E50" s="5" t="s">
        <v>140</v>
      </c>
      <c r="F50" s="5" t="s">
        <v>181</v>
      </c>
      <c r="G50" s="9" t="s">
        <v>28</v>
      </c>
      <c r="H50" s="5" t="s">
        <v>5</v>
      </c>
      <c r="I50" s="9"/>
      <c r="J50" s="265">
        <v>61875000</v>
      </c>
      <c r="K50" s="36"/>
      <c r="L50" s="37"/>
      <c r="M50" s="7" t="s">
        <v>78</v>
      </c>
      <c r="N50" s="112">
        <f>4956250+4956250+5162500</f>
        <v>15075000</v>
      </c>
      <c r="O50" s="196">
        <f t="shared" si="10"/>
        <v>24.363636363636363</v>
      </c>
      <c r="P50" s="91" t="s">
        <v>139</v>
      </c>
      <c r="Q50" s="91" t="s">
        <v>309</v>
      </c>
      <c r="R50" s="88">
        <v>1500000</v>
      </c>
      <c r="S50" s="88">
        <v>0</v>
      </c>
      <c r="T50" s="88">
        <f t="shared" si="12"/>
        <v>1500000</v>
      </c>
      <c r="U50" s="204">
        <f t="shared" si="8"/>
        <v>9.950248756218906</v>
      </c>
      <c r="V50" s="8">
        <f t="shared" si="13"/>
        <v>60375000</v>
      </c>
      <c r="W50" s="304">
        <f t="shared" si="11"/>
        <v>97.57575757575758</v>
      </c>
      <c r="X50" s="7"/>
      <c r="Y50" s="38"/>
      <c r="Z50" s="46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25" customFormat="1" ht="27" customHeight="1">
      <c r="A51" s="9"/>
      <c r="B51" s="266" t="s">
        <v>188</v>
      </c>
      <c r="C51" s="9" t="s">
        <v>210</v>
      </c>
      <c r="D51" s="5" t="s">
        <v>37</v>
      </c>
      <c r="E51" s="5" t="s">
        <v>307</v>
      </c>
      <c r="F51" s="5" t="s">
        <v>181</v>
      </c>
      <c r="G51" s="9" t="s">
        <v>28</v>
      </c>
      <c r="H51" s="5" t="s">
        <v>5</v>
      </c>
      <c r="I51" s="9"/>
      <c r="J51" s="265">
        <v>19200000</v>
      </c>
      <c r="K51" s="36"/>
      <c r="L51" s="37"/>
      <c r="M51" s="7" t="s">
        <v>78</v>
      </c>
      <c r="N51" s="112">
        <v>6400000</v>
      </c>
      <c r="O51" s="196">
        <f t="shared" si="10"/>
        <v>33.33333333333333</v>
      </c>
      <c r="P51" s="91" t="s">
        <v>141</v>
      </c>
      <c r="Q51" s="91" t="s">
        <v>309</v>
      </c>
      <c r="R51" s="88"/>
      <c r="S51" s="88">
        <v>0</v>
      </c>
      <c r="T51" s="88">
        <f t="shared" si="12"/>
        <v>0</v>
      </c>
      <c r="U51" s="204">
        <v>0</v>
      </c>
      <c r="V51" s="8">
        <f t="shared" si="13"/>
        <v>19200000</v>
      </c>
      <c r="W51" s="304">
        <f t="shared" si="11"/>
        <v>100</v>
      </c>
      <c r="X51" s="7"/>
      <c r="Y51" s="38"/>
      <c r="Z51" s="46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25" customFormat="1" ht="15" customHeight="1">
      <c r="A52" s="9"/>
      <c r="B52" s="266" t="s">
        <v>189</v>
      </c>
      <c r="C52" s="9" t="s">
        <v>211</v>
      </c>
      <c r="D52" s="5" t="s">
        <v>37</v>
      </c>
      <c r="E52" s="5" t="s">
        <v>140</v>
      </c>
      <c r="F52" s="5" t="s">
        <v>181</v>
      </c>
      <c r="G52" s="9" t="s">
        <v>28</v>
      </c>
      <c r="H52" s="5" t="s">
        <v>5</v>
      </c>
      <c r="I52" s="9"/>
      <c r="J52" s="265">
        <v>1200000</v>
      </c>
      <c r="K52" s="36"/>
      <c r="L52" s="37"/>
      <c r="M52" s="7" t="s">
        <v>78</v>
      </c>
      <c r="N52" s="112">
        <f>100000+100000+100000</f>
        <v>300000</v>
      </c>
      <c r="O52" s="196">
        <f t="shared" si="10"/>
        <v>25</v>
      </c>
      <c r="P52" s="91" t="s">
        <v>139</v>
      </c>
      <c r="Q52" s="91" t="s">
        <v>309</v>
      </c>
      <c r="R52" s="88">
        <v>105000</v>
      </c>
      <c r="S52" s="88">
        <v>105000</v>
      </c>
      <c r="T52" s="88">
        <f t="shared" si="12"/>
        <v>210000</v>
      </c>
      <c r="U52" s="204">
        <f>T52/N52*100</f>
        <v>70</v>
      </c>
      <c r="V52" s="8">
        <f t="shared" si="13"/>
        <v>990000</v>
      </c>
      <c r="W52" s="304">
        <f t="shared" si="11"/>
        <v>82.5</v>
      </c>
      <c r="X52" s="7"/>
      <c r="Y52" s="38"/>
      <c r="Z52" s="46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s="26" customFormat="1" ht="15" customHeight="1">
      <c r="A53" s="10"/>
      <c r="B53" s="267" t="s">
        <v>91</v>
      </c>
      <c r="C53" s="10" t="s">
        <v>116</v>
      </c>
      <c r="D53" s="102" t="s">
        <v>37</v>
      </c>
      <c r="E53" s="102" t="s">
        <v>140</v>
      </c>
      <c r="F53" s="102" t="s">
        <v>181</v>
      </c>
      <c r="G53" s="10" t="s">
        <v>28</v>
      </c>
      <c r="H53" s="102" t="s">
        <v>5</v>
      </c>
      <c r="I53" s="10"/>
      <c r="J53" s="264">
        <f>SUM(J54:J55)</f>
        <v>88295280</v>
      </c>
      <c r="K53" s="103"/>
      <c r="L53" s="104"/>
      <c r="M53" s="105"/>
      <c r="N53" s="110">
        <f>SUM('[1]BID jasa lainnya'!L24:L25)</f>
        <v>22073820</v>
      </c>
      <c r="O53" s="195">
        <f t="shared" si="10"/>
        <v>25</v>
      </c>
      <c r="P53" s="170" t="s">
        <v>139</v>
      </c>
      <c r="Q53" s="170" t="s">
        <v>309</v>
      </c>
      <c r="R53" s="89">
        <f>SUM(R54:R55)</f>
        <v>6145130</v>
      </c>
      <c r="S53" s="89">
        <f>SUM(S54:S55)</f>
        <v>5748670</v>
      </c>
      <c r="T53" s="89">
        <f t="shared" si="12"/>
        <v>11893800</v>
      </c>
      <c r="U53" s="204">
        <f>T53/N53*100</f>
        <v>53.881928909450195</v>
      </c>
      <c r="V53" s="86">
        <f>SUM(V54:V55)</f>
        <v>76401480</v>
      </c>
      <c r="W53" s="303">
        <f t="shared" si="11"/>
        <v>86.52951777263745</v>
      </c>
      <c r="X53" s="105"/>
      <c r="Y53" s="106"/>
      <c r="Z53" s="45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25" customFormat="1" ht="15" customHeight="1">
      <c r="A54" s="9"/>
      <c r="B54" s="266" t="s">
        <v>190</v>
      </c>
      <c r="C54" s="9" t="s">
        <v>212</v>
      </c>
      <c r="D54" s="5" t="s">
        <v>37</v>
      </c>
      <c r="E54" s="5" t="s">
        <v>140</v>
      </c>
      <c r="F54" s="5" t="s">
        <v>181</v>
      </c>
      <c r="G54" s="9" t="s">
        <v>28</v>
      </c>
      <c r="H54" s="5" t="s">
        <v>5</v>
      </c>
      <c r="I54" s="9"/>
      <c r="J54" s="265">
        <v>79688460</v>
      </c>
      <c r="K54" s="36"/>
      <c r="L54" s="37"/>
      <c r="M54" s="7" t="s">
        <v>78</v>
      </c>
      <c r="O54" s="196">
        <f>'[1]BID jasa lainnya'!L24/J54*100</f>
        <v>25</v>
      </c>
      <c r="P54" s="91" t="s">
        <v>139</v>
      </c>
      <c r="Q54" s="91" t="s">
        <v>309</v>
      </c>
      <c r="R54" s="88">
        <v>6145130</v>
      </c>
      <c r="S54" s="88">
        <v>5748670</v>
      </c>
      <c r="T54" s="88">
        <f t="shared" si="12"/>
        <v>11893800</v>
      </c>
      <c r="U54" s="204">
        <f>T54/'[1]BID jasa lainnya'!L24*100</f>
        <v>59.70149253731343</v>
      </c>
      <c r="V54" s="8">
        <f t="shared" si="13"/>
        <v>67794660</v>
      </c>
      <c r="W54" s="304">
        <f t="shared" si="11"/>
        <v>85.07462686567165</v>
      </c>
      <c r="X54" s="7"/>
      <c r="Y54" s="38"/>
      <c r="Z54" s="46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s="25" customFormat="1" ht="15" customHeight="1">
      <c r="A55" s="9"/>
      <c r="B55" s="266" t="s">
        <v>191</v>
      </c>
      <c r="C55" s="9" t="s">
        <v>143</v>
      </c>
      <c r="D55" s="5" t="s">
        <v>37</v>
      </c>
      <c r="E55" s="5" t="s">
        <v>140</v>
      </c>
      <c r="F55" s="5" t="s">
        <v>181</v>
      </c>
      <c r="G55" s="9" t="s">
        <v>28</v>
      </c>
      <c r="H55" s="5" t="s">
        <v>5</v>
      </c>
      <c r="I55" s="9"/>
      <c r="J55" s="265">
        <v>8606820</v>
      </c>
      <c r="K55" s="36"/>
      <c r="L55" s="37"/>
      <c r="M55" s="7" t="s">
        <v>78</v>
      </c>
      <c r="O55" s="196">
        <f>'[1]BID jasa lainnya'!L25/J55*100</f>
        <v>25</v>
      </c>
      <c r="P55" s="91" t="s">
        <v>139</v>
      </c>
      <c r="Q55" s="91" t="s">
        <v>309</v>
      </c>
      <c r="R55" s="88"/>
      <c r="S55" s="88">
        <v>0</v>
      </c>
      <c r="T55" s="88">
        <f t="shared" si="12"/>
        <v>0</v>
      </c>
      <c r="U55" s="204">
        <f>T55/'[1]BID jasa lainnya'!L25*100</f>
        <v>0</v>
      </c>
      <c r="V55" s="8">
        <f t="shared" si="13"/>
        <v>8606820</v>
      </c>
      <c r="W55" s="304">
        <f t="shared" si="11"/>
        <v>100</v>
      </c>
      <c r="X55" s="7"/>
      <c r="Y55" s="38"/>
      <c r="Z55" s="46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26" customFormat="1" ht="15" customHeight="1">
      <c r="A56" s="10"/>
      <c r="B56" s="267" t="s">
        <v>92</v>
      </c>
      <c r="C56" s="10" t="s">
        <v>117</v>
      </c>
      <c r="D56" s="102" t="s">
        <v>37</v>
      </c>
      <c r="E56" s="102" t="s">
        <v>140</v>
      </c>
      <c r="F56" s="102" t="s">
        <v>181</v>
      </c>
      <c r="G56" s="10" t="s">
        <v>28</v>
      </c>
      <c r="H56" s="102" t="s">
        <v>5</v>
      </c>
      <c r="I56" s="10"/>
      <c r="J56" s="264">
        <f>SUM(J57:J58)</f>
        <v>149121500</v>
      </c>
      <c r="K56" s="103"/>
      <c r="L56" s="104"/>
      <c r="M56" s="105"/>
      <c r="N56" s="175">
        <f>N57+N58</f>
        <v>38370000</v>
      </c>
      <c r="O56" s="195">
        <f aca="true" t="shared" si="14" ref="O56:O72">N56/J56*100</f>
        <v>25.730696110218847</v>
      </c>
      <c r="P56" s="170" t="s">
        <v>139</v>
      </c>
      <c r="Q56" s="170" t="s">
        <v>309</v>
      </c>
      <c r="R56" s="89">
        <f>SUM(R57:R58)</f>
        <v>858700</v>
      </c>
      <c r="S56" s="89">
        <f>SUM(S57:S58)</f>
        <v>14490000</v>
      </c>
      <c r="T56" s="89">
        <f t="shared" si="12"/>
        <v>15348700</v>
      </c>
      <c r="U56" s="204">
        <v>0</v>
      </c>
      <c r="V56" s="86">
        <f>SUM(V57:V58)</f>
        <v>133772800</v>
      </c>
      <c r="W56" s="303">
        <f t="shared" si="11"/>
        <v>89.70725214003346</v>
      </c>
      <c r="X56" s="105"/>
      <c r="Y56" s="106"/>
      <c r="Z56" s="45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25" customFormat="1" ht="15" customHeight="1">
      <c r="A57" s="9"/>
      <c r="B57" s="266" t="s">
        <v>192</v>
      </c>
      <c r="C57" s="9" t="s">
        <v>136</v>
      </c>
      <c r="D57" s="5" t="s">
        <v>37</v>
      </c>
      <c r="E57" s="5" t="s">
        <v>140</v>
      </c>
      <c r="F57" s="5" t="s">
        <v>181</v>
      </c>
      <c r="G57" s="9" t="s">
        <v>28</v>
      </c>
      <c r="H57" s="5" t="s">
        <v>5</v>
      </c>
      <c r="I57" s="9"/>
      <c r="J57" s="265">
        <v>147651500</v>
      </c>
      <c r="K57" s="36"/>
      <c r="L57" s="37"/>
      <c r="M57" s="7" t="s">
        <v>78</v>
      </c>
      <c r="N57" s="305">
        <f>12300000+12300000+12300000</f>
        <v>36900000</v>
      </c>
      <c r="O57" s="196">
        <f t="shared" si="14"/>
        <v>24.991280142768613</v>
      </c>
      <c r="P57" s="91" t="s">
        <v>139</v>
      </c>
      <c r="Q57" s="91" t="s">
        <v>309</v>
      </c>
      <c r="R57" s="88">
        <v>225000</v>
      </c>
      <c r="S57" s="88">
        <v>14490000</v>
      </c>
      <c r="T57" s="88">
        <f>R57+S57</f>
        <v>14715000</v>
      </c>
      <c r="U57" s="204">
        <f aca="true" t="shared" si="15" ref="U57:U73">T57/N57*100</f>
        <v>39.87804878048781</v>
      </c>
      <c r="V57" s="8">
        <f t="shared" si="13"/>
        <v>132936500</v>
      </c>
      <c r="W57" s="304">
        <f t="shared" si="11"/>
        <v>90.03396511379836</v>
      </c>
      <c r="X57" s="7"/>
      <c r="Y57" s="38"/>
      <c r="Z57" s="46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5" customFormat="1" ht="27">
      <c r="A58" s="9"/>
      <c r="B58" s="266" t="s">
        <v>193</v>
      </c>
      <c r="C58" s="9" t="s">
        <v>118</v>
      </c>
      <c r="D58" s="5" t="s">
        <v>37</v>
      </c>
      <c r="E58" s="5" t="s">
        <v>140</v>
      </c>
      <c r="F58" s="5" t="s">
        <v>181</v>
      </c>
      <c r="G58" s="9" t="s">
        <v>28</v>
      </c>
      <c r="H58" s="5" t="s">
        <v>5</v>
      </c>
      <c r="I58" s="9"/>
      <c r="J58" s="265">
        <v>1470000</v>
      </c>
      <c r="K58" s="36"/>
      <c r="L58" s="37"/>
      <c r="M58" s="7" t="s">
        <v>78</v>
      </c>
      <c r="N58" s="112">
        <f>1470000</f>
        <v>1470000</v>
      </c>
      <c r="O58" s="196">
        <f t="shared" si="14"/>
        <v>100</v>
      </c>
      <c r="P58" s="91" t="s">
        <v>139</v>
      </c>
      <c r="Q58" s="91" t="s">
        <v>309</v>
      </c>
      <c r="R58" s="88">
        <v>633700</v>
      </c>
      <c r="S58" s="88">
        <v>0</v>
      </c>
      <c r="T58" s="88">
        <f t="shared" si="12"/>
        <v>633700</v>
      </c>
      <c r="U58" s="204">
        <f t="shared" si="15"/>
        <v>43.10884353741496</v>
      </c>
      <c r="V58" s="8">
        <f t="shared" si="13"/>
        <v>836300</v>
      </c>
      <c r="W58" s="304">
        <f t="shared" si="11"/>
        <v>56.89115646258504</v>
      </c>
      <c r="X58" s="7"/>
      <c r="Y58" s="38"/>
      <c r="Z58" s="46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26" customFormat="1" ht="15" customHeight="1">
      <c r="A59" s="10"/>
      <c r="B59" s="267" t="s">
        <v>194</v>
      </c>
      <c r="C59" s="10" t="s">
        <v>213</v>
      </c>
      <c r="D59" s="102" t="s">
        <v>37</v>
      </c>
      <c r="E59" s="102" t="s">
        <v>306</v>
      </c>
      <c r="F59" s="102" t="s">
        <v>181</v>
      </c>
      <c r="G59" s="10" t="s">
        <v>28</v>
      </c>
      <c r="H59" s="102" t="s">
        <v>5</v>
      </c>
      <c r="I59" s="10"/>
      <c r="J59" s="264">
        <f>SUM(J60:J63)</f>
        <v>44468000</v>
      </c>
      <c r="K59" s="103"/>
      <c r="L59" s="104"/>
      <c r="M59" s="105"/>
      <c r="N59" s="110">
        <f>SUM(N60:N63)</f>
        <v>44468000</v>
      </c>
      <c r="O59" s="195">
        <f t="shared" si="14"/>
        <v>100</v>
      </c>
      <c r="P59" s="170" t="s">
        <v>139</v>
      </c>
      <c r="Q59" s="170" t="s">
        <v>139</v>
      </c>
      <c r="R59" s="89">
        <f>SUM(R60:R63)</f>
        <v>0</v>
      </c>
      <c r="S59" s="89">
        <v>0</v>
      </c>
      <c r="T59" s="89">
        <f t="shared" si="12"/>
        <v>0</v>
      </c>
      <c r="U59" s="204">
        <f t="shared" si="15"/>
        <v>0</v>
      </c>
      <c r="V59" s="86">
        <f>SUM(V60:V63)</f>
        <v>44468000</v>
      </c>
      <c r="W59" s="303">
        <f t="shared" si="11"/>
        <v>100</v>
      </c>
      <c r="X59" s="105"/>
      <c r="Y59" s="106"/>
      <c r="Z59" s="45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25" customFormat="1" ht="15" customHeight="1">
      <c r="A60" s="9"/>
      <c r="B60" s="266" t="s">
        <v>195</v>
      </c>
      <c r="C60" s="9" t="s">
        <v>214</v>
      </c>
      <c r="D60" s="5" t="s">
        <v>37</v>
      </c>
      <c r="E60" s="5" t="s">
        <v>306</v>
      </c>
      <c r="F60" s="5" t="s">
        <v>181</v>
      </c>
      <c r="G60" s="9" t="s">
        <v>28</v>
      </c>
      <c r="H60" s="5" t="s">
        <v>5</v>
      </c>
      <c r="I60" s="9"/>
      <c r="J60" s="265">
        <v>14000000</v>
      </c>
      <c r="K60" s="36"/>
      <c r="L60" s="37"/>
      <c r="M60" s="7" t="s">
        <v>221</v>
      </c>
      <c r="N60" s="112">
        <v>14000000</v>
      </c>
      <c r="O60" s="196">
        <f t="shared" si="14"/>
        <v>100</v>
      </c>
      <c r="P60" s="91" t="s">
        <v>139</v>
      </c>
      <c r="Q60" s="91" t="s">
        <v>139</v>
      </c>
      <c r="R60" s="88"/>
      <c r="S60" s="88">
        <v>0</v>
      </c>
      <c r="T60" s="88">
        <f t="shared" si="12"/>
        <v>0</v>
      </c>
      <c r="U60" s="204">
        <f t="shared" si="15"/>
        <v>0</v>
      </c>
      <c r="V60" s="8">
        <f t="shared" si="13"/>
        <v>14000000</v>
      </c>
      <c r="W60" s="304">
        <f t="shared" si="11"/>
        <v>100</v>
      </c>
      <c r="X60" s="7"/>
      <c r="Y60" s="38"/>
      <c r="Z60" s="46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s="25" customFormat="1" ht="15" customHeight="1">
      <c r="A61" s="9"/>
      <c r="B61" s="266" t="s">
        <v>196</v>
      </c>
      <c r="C61" s="9" t="s">
        <v>215</v>
      </c>
      <c r="D61" s="5" t="s">
        <v>37</v>
      </c>
      <c r="E61" s="5" t="s">
        <v>306</v>
      </c>
      <c r="F61" s="5" t="s">
        <v>181</v>
      </c>
      <c r="G61" s="9" t="s">
        <v>28</v>
      </c>
      <c r="H61" s="5" t="s">
        <v>5</v>
      </c>
      <c r="I61" s="9"/>
      <c r="J61" s="265">
        <v>12000000</v>
      </c>
      <c r="K61" s="36"/>
      <c r="L61" s="37"/>
      <c r="M61" s="7" t="s">
        <v>221</v>
      </c>
      <c r="N61" s="112">
        <v>12000000</v>
      </c>
      <c r="O61" s="196">
        <f t="shared" si="14"/>
        <v>100</v>
      </c>
      <c r="P61" s="91" t="s">
        <v>139</v>
      </c>
      <c r="Q61" s="91" t="s">
        <v>139</v>
      </c>
      <c r="R61" s="88"/>
      <c r="S61" s="88">
        <v>0</v>
      </c>
      <c r="T61" s="88">
        <f t="shared" si="12"/>
        <v>0</v>
      </c>
      <c r="U61" s="204">
        <f t="shared" si="15"/>
        <v>0</v>
      </c>
      <c r="V61" s="8">
        <f t="shared" si="13"/>
        <v>12000000</v>
      </c>
      <c r="W61" s="304">
        <f t="shared" si="11"/>
        <v>100</v>
      </c>
      <c r="X61" s="7"/>
      <c r="Y61" s="38"/>
      <c r="Z61" s="46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s="25" customFormat="1" ht="15" customHeight="1">
      <c r="A62" s="9"/>
      <c r="B62" s="266" t="s">
        <v>197</v>
      </c>
      <c r="C62" s="9" t="s">
        <v>216</v>
      </c>
      <c r="D62" s="5" t="s">
        <v>37</v>
      </c>
      <c r="E62" s="5" t="s">
        <v>306</v>
      </c>
      <c r="F62" s="5" t="s">
        <v>181</v>
      </c>
      <c r="G62" s="9" t="s">
        <v>28</v>
      </c>
      <c r="H62" s="5" t="s">
        <v>5</v>
      </c>
      <c r="I62" s="9"/>
      <c r="J62" s="265">
        <v>6468000</v>
      </c>
      <c r="K62" s="36"/>
      <c r="L62" s="37"/>
      <c r="M62" s="7" t="s">
        <v>221</v>
      </c>
      <c r="N62" s="112">
        <v>6468000</v>
      </c>
      <c r="O62" s="196">
        <f t="shared" si="14"/>
        <v>100</v>
      </c>
      <c r="P62" s="91" t="s">
        <v>139</v>
      </c>
      <c r="Q62" s="91" t="s">
        <v>139</v>
      </c>
      <c r="R62" s="88"/>
      <c r="S62" s="88">
        <v>0</v>
      </c>
      <c r="T62" s="88">
        <f t="shared" si="12"/>
        <v>0</v>
      </c>
      <c r="U62" s="204">
        <f t="shared" si="15"/>
        <v>0</v>
      </c>
      <c r="V62" s="8">
        <f t="shared" si="13"/>
        <v>6468000</v>
      </c>
      <c r="W62" s="304">
        <f t="shared" si="11"/>
        <v>100</v>
      </c>
      <c r="X62" s="7"/>
      <c r="Y62" s="38"/>
      <c r="Z62" s="46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s="25" customFormat="1" ht="15" customHeight="1">
      <c r="A63" s="9"/>
      <c r="B63" s="266" t="s">
        <v>198</v>
      </c>
      <c r="C63" s="9" t="s">
        <v>217</v>
      </c>
      <c r="D63" s="5" t="s">
        <v>37</v>
      </c>
      <c r="E63" s="5" t="s">
        <v>306</v>
      </c>
      <c r="F63" s="5" t="s">
        <v>181</v>
      </c>
      <c r="G63" s="9" t="s">
        <v>28</v>
      </c>
      <c r="H63" s="5" t="s">
        <v>5</v>
      </c>
      <c r="I63" s="9"/>
      <c r="J63" s="265">
        <v>12000000</v>
      </c>
      <c r="K63" s="36"/>
      <c r="L63" s="37"/>
      <c r="M63" s="7" t="s">
        <v>221</v>
      </c>
      <c r="N63" s="112">
        <v>12000000</v>
      </c>
      <c r="O63" s="196">
        <f t="shared" si="14"/>
        <v>100</v>
      </c>
      <c r="P63" s="91" t="s">
        <v>139</v>
      </c>
      <c r="Q63" s="91" t="s">
        <v>139</v>
      </c>
      <c r="R63" s="88"/>
      <c r="S63" s="88">
        <v>0</v>
      </c>
      <c r="T63" s="88">
        <f t="shared" si="12"/>
        <v>0</v>
      </c>
      <c r="U63" s="204">
        <f t="shared" si="15"/>
        <v>0</v>
      </c>
      <c r="V63" s="8">
        <f t="shared" si="13"/>
        <v>12000000</v>
      </c>
      <c r="W63" s="304">
        <f t="shared" si="11"/>
        <v>100</v>
      </c>
      <c r="X63" s="7"/>
      <c r="Y63" s="38"/>
      <c r="Z63" s="46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s="26" customFormat="1" ht="15" customHeight="1">
      <c r="A64" s="10"/>
      <c r="B64" s="267" t="s">
        <v>199</v>
      </c>
      <c r="C64" s="10" t="s">
        <v>218</v>
      </c>
      <c r="D64" s="102" t="s">
        <v>37</v>
      </c>
      <c r="E64" s="102" t="s">
        <v>306</v>
      </c>
      <c r="F64" s="102" t="s">
        <v>181</v>
      </c>
      <c r="G64" s="10" t="s">
        <v>28</v>
      </c>
      <c r="H64" s="102" t="s">
        <v>5</v>
      </c>
      <c r="I64" s="10"/>
      <c r="J64" s="264">
        <f>SUM(J65:J66)</f>
        <v>64500000</v>
      </c>
      <c r="K64" s="103"/>
      <c r="L64" s="104"/>
      <c r="M64" s="105"/>
      <c r="N64" s="110">
        <f>SUM(N65:N66)</f>
        <v>64500000</v>
      </c>
      <c r="O64" s="195">
        <f t="shared" si="14"/>
        <v>100</v>
      </c>
      <c r="P64" s="170" t="s">
        <v>139</v>
      </c>
      <c r="Q64" s="170" t="s">
        <v>139</v>
      </c>
      <c r="R64" s="89">
        <f>SUM(R65:R66)</f>
        <v>0</v>
      </c>
      <c r="S64" s="89">
        <v>0</v>
      </c>
      <c r="T64" s="89">
        <f t="shared" si="12"/>
        <v>0</v>
      </c>
      <c r="U64" s="204">
        <f t="shared" si="15"/>
        <v>0</v>
      </c>
      <c r="V64" s="86">
        <f>SUM(V65:V66)</f>
        <v>64500000</v>
      </c>
      <c r="W64" s="303">
        <f t="shared" si="11"/>
        <v>100</v>
      </c>
      <c r="X64" s="105"/>
      <c r="Y64" s="106"/>
      <c r="Z64" s="45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25" customFormat="1" ht="15" customHeight="1">
      <c r="A65" s="9"/>
      <c r="B65" s="266" t="s">
        <v>200</v>
      </c>
      <c r="C65" s="9" t="s">
        <v>219</v>
      </c>
      <c r="D65" s="5" t="s">
        <v>37</v>
      </c>
      <c r="E65" s="5" t="s">
        <v>306</v>
      </c>
      <c r="F65" s="5" t="s">
        <v>181</v>
      </c>
      <c r="G65" s="9" t="s">
        <v>28</v>
      </c>
      <c r="H65" s="5" t="s">
        <v>5</v>
      </c>
      <c r="I65" s="9"/>
      <c r="J65" s="265">
        <v>60000000</v>
      </c>
      <c r="K65" s="36"/>
      <c r="L65" s="37"/>
      <c r="M65" s="7" t="s">
        <v>221</v>
      </c>
      <c r="N65" s="112">
        <v>60000000</v>
      </c>
      <c r="O65" s="196">
        <f t="shared" si="14"/>
        <v>100</v>
      </c>
      <c r="P65" s="91" t="s">
        <v>139</v>
      </c>
      <c r="Q65" s="91" t="s">
        <v>139</v>
      </c>
      <c r="R65" s="88"/>
      <c r="S65" s="88">
        <v>0</v>
      </c>
      <c r="T65" s="88">
        <f t="shared" si="12"/>
        <v>0</v>
      </c>
      <c r="U65" s="204">
        <f t="shared" si="15"/>
        <v>0</v>
      </c>
      <c r="V65" s="8">
        <f t="shared" si="13"/>
        <v>60000000</v>
      </c>
      <c r="W65" s="304">
        <f t="shared" si="11"/>
        <v>100</v>
      </c>
      <c r="X65" s="7"/>
      <c r="Y65" s="38"/>
      <c r="Z65" s="46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s="25" customFormat="1" ht="15" customHeight="1">
      <c r="A66" s="9"/>
      <c r="B66" s="266" t="s">
        <v>201</v>
      </c>
      <c r="C66" s="9" t="s">
        <v>220</v>
      </c>
      <c r="D66" s="5" t="s">
        <v>37</v>
      </c>
      <c r="E66" s="5" t="s">
        <v>308</v>
      </c>
      <c r="F66" s="5" t="s">
        <v>181</v>
      </c>
      <c r="G66" s="9" t="s">
        <v>28</v>
      </c>
      <c r="H66" s="5" t="s">
        <v>5</v>
      </c>
      <c r="I66" s="9"/>
      <c r="J66" s="265">
        <v>4500000</v>
      </c>
      <c r="K66" s="36"/>
      <c r="L66" s="37"/>
      <c r="M66" s="7" t="s">
        <v>78</v>
      </c>
      <c r="N66" s="112">
        <v>4500000</v>
      </c>
      <c r="O66" s="196">
        <f t="shared" si="14"/>
        <v>100</v>
      </c>
      <c r="P66" s="91" t="s">
        <v>139</v>
      </c>
      <c r="Q66" s="91" t="s">
        <v>139</v>
      </c>
      <c r="R66" s="88"/>
      <c r="S66" s="88">
        <v>0</v>
      </c>
      <c r="T66" s="88">
        <f t="shared" si="12"/>
        <v>0</v>
      </c>
      <c r="U66" s="204">
        <f t="shared" si="15"/>
        <v>0</v>
      </c>
      <c r="V66" s="8">
        <f t="shared" si="13"/>
        <v>4500000</v>
      </c>
      <c r="W66" s="304">
        <f t="shared" si="11"/>
        <v>100</v>
      </c>
      <c r="X66" s="7"/>
      <c r="Y66" s="38"/>
      <c r="Z66" s="46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s="26" customFormat="1" ht="15" customHeight="1">
      <c r="A67" s="10"/>
      <c r="B67" s="267" t="s">
        <v>93</v>
      </c>
      <c r="C67" s="10" t="s">
        <v>119</v>
      </c>
      <c r="D67" s="102" t="s">
        <v>37</v>
      </c>
      <c r="E67" s="102" t="s">
        <v>140</v>
      </c>
      <c r="F67" s="102" t="s">
        <v>181</v>
      </c>
      <c r="G67" s="10" t="s">
        <v>28</v>
      </c>
      <c r="H67" s="102" t="s">
        <v>5</v>
      </c>
      <c r="I67" s="10"/>
      <c r="J67" s="264">
        <f>SUM(J68:J69)</f>
        <v>1880959000</v>
      </c>
      <c r="K67" s="103"/>
      <c r="L67" s="104"/>
      <c r="M67" s="105"/>
      <c r="N67" s="110">
        <f>SUM(N68:N69)</f>
        <v>505087500</v>
      </c>
      <c r="O67" s="195">
        <f t="shared" si="14"/>
        <v>26.852658670391005</v>
      </c>
      <c r="P67" s="170" t="s">
        <v>139</v>
      </c>
      <c r="Q67" s="170" t="s">
        <v>139</v>
      </c>
      <c r="R67" s="89">
        <f>SUM(R68:R69)</f>
        <v>115761169</v>
      </c>
      <c r="S67" s="89">
        <f>SUM(S68:S69)</f>
        <v>98582839</v>
      </c>
      <c r="T67" s="89">
        <f t="shared" si="12"/>
        <v>214344008</v>
      </c>
      <c r="U67" s="204">
        <f t="shared" si="15"/>
        <v>42.43700507337837</v>
      </c>
      <c r="V67" s="86">
        <f>SUM(V68:V69)</f>
        <v>1666614992</v>
      </c>
      <c r="W67" s="303">
        <f t="shared" si="11"/>
        <v>88.6045358777092</v>
      </c>
      <c r="X67" s="105"/>
      <c r="Y67" s="106"/>
      <c r="Z67" s="45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25" customFormat="1" ht="15" customHeight="1">
      <c r="A68" s="9"/>
      <c r="B68" s="266" t="s">
        <v>202</v>
      </c>
      <c r="C68" s="9" t="s">
        <v>120</v>
      </c>
      <c r="D68" s="5" t="s">
        <v>37</v>
      </c>
      <c r="E68" s="5" t="s">
        <v>140</v>
      </c>
      <c r="F68" s="5" t="s">
        <v>181</v>
      </c>
      <c r="G68" s="9" t="s">
        <v>28</v>
      </c>
      <c r="H68" s="5" t="s">
        <v>5</v>
      </c>
      <c r="I68" s="9"/>
      <c r="J68" s="265">
        <v>220350000</v>
      </c>
      <c r="K68" s="36"/>
      <c r="L68" s="37"/>
      <c r="M68" s="7" t="s">
        <v>78</v>
      </c>
      <c r="N68" s="112">
        <f>18362500+18362500+18362500</f>
        <v>55087500</v>
      </c>
      <c r="O68" s="196">
        <f t="shared" si="14"/>
        <v>25</v>
      </c>
      <c r="P68" s="91" t="s">
        <v>139</v>
      </c>
      <c r="Q68" s="91" t="s">
        <v>139</v>
      </c>
      <c r="R68" s="88">
        <v>14460000</v>
      </c>
      <c r="S68" s="88">
        <v>18600000</v>
      </c>
      <c r="T68" s="88">
        <f t="shared" si="12"/>
        <v>33060000</v>
      </c>
      <c r="U68" s="204">
        <f t="shared" si="15"/>
        <v>60.013614703880194</v>
      </c>
      <c r="V68" s="8">
        <f t="shared" si="13"/>
        <v>187290000</v>
      </c>
      <c r="W68" s="304">
        <f t="shared" si="11"/>
        <v>84.99659632402995</v>
      </c>
      <c r="X68" s="7"/>
      <c r="Y68" s="38"/>
      <c r="Z68" s="46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s="25" customFormat="1" ht="15" customHeight="1">
      <c r="A69" s="9"/>
      <c r="B69" s="266" t="s">
        <v>203</v>
      </c>
      <c r="C69" s="9" t="s">
        <v>121</v>
      </c>
      <c r="D69" s="5" t="s">
        <v>37</v>
      </c>
      <c r="E69" s="5" t="s">
        <v>140</v>
      </c>
      <c r="F69" s="5" t="s">
        <v>181</v>
      </c>
      <c r="G69" s="9" t="s">
        <v>28</v>
      </c>
      <c r="H69" s="5" t="s">
        <v>5</v>
      </c>
      <c r="I69" s="9"/>
      <c r="J69" s="265">
        <v>1660609000</v>
      </c>
      <c r="K69" s="36"/>
      <c r="L69" s="37"/>
      <c r="M69" s="7" t="s">
        <v>78</v>
      </c>
      <c r="N69" s="112">
        <f>150000000+150000000+150000000</f>
        <v>450000000</v>
      </c>
      <c r="O69" s="196">
        <f t="shared" si="14"/>
        <v>27.098492179676253</v>
      </c>
      <c r="P69" s="91" t="s">
        <v>139</v>
      </c>
      <c r="Q69" s="91" t="s">
        <v>139</v>
      </c>
      <c r="R69" s="88">
        <f>26585200+74715969</f>
        <v>101301169</v>
      </c>
      <c r="S69" s="88">
        <v>79982839</v>
      </c>
      <c r="T69" s="88">
        <f t="shared" si="12"/>
        <v>181284008</v>
      </c>
      <c r="U69" s="204">
        <f t="shared" si="15"/>
        <v>40.28533511111111</v>
      </c>
      <c r="V69" s="8">
        <f t="shared" si="13"/>
        <v>1479324992</v>
      </c>
      <c r="W69" s="304">
        <f t="shared" si="11"/>
        <v>89.08328161535918</v>
      </c>
      <c r="X69" s="7"/>
      <c r="Y69" s="38"/>
      <c r="Z69" s="46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s="26" customFormat="1" ht="15" customHeight="1">
      <c r="A70" s="10"/>
      <c r="B70" s="267" t="s">
        <v>204</v>
      </c>
      <c r="C70" s="10" t="s">
        <v>122</v>
      </c>
      <c r="D70" s="102" t="s">
        <v>37</v>
      </c>
      <c r="E70" s="102" t="s">
        <v>140</v>
      </c>
      <c r="F70" s="102" t="s">
        <v>181</v>
      </c>
      <c r="G70" s="10" t="s">
        <v>28</v>
      </c>
      <c r="H70" s="102" t="s">
        <v>5</v>
      </c>
      <c r="I70" s="10"/>
      <c r="J70" s="264">
        <f>SUM(J71:J72)</f>
        <v>1006120000</v>
      </c>
      <c r="K70" s="103"/>
      <c r="L70" s="104"/>
      <c r="M70" s="105"/>
      <c r="N70" s="110">
        <f>SUM(N71:N72)</f>
        <v>265164000</v>
      </c>
      <c r="O70" s="195">
        <f t="shared" si="14"/>
        <v>26.355106746710135</v>
      </c>
      <c r="P70" s="170" t="s">
        <v>139</v>
      </c>
      <c r="Q70" s="170" t="s">
        <v>139</v>
      </c>
      <c r="R70" s="89">
        <f>R71+R72</f>
        <v>81838000</v>
      </c>
      <c r="S70" s="89">
        <f>S71+S72</f>
        <v>140600000</v>
      </c>
      <c r="T70" s="89">
        <f t="shared" si="12"/>
        <v>222438000</v>
      </c>
      <c r="U70" s="204">
        <f t="shared" si="15"/>
        <v>83.88695298004254</v>
      </c>
      <c r="V70" s="86">
        <f>SUM(V71:V72)</f>
        <v>783682000</v>
      </c>
      <c r="W70" s="303">
        <f t="shared" si="11"/>
        <v>77.89150399554725</v>
      </c>
      <c r="X70" s="105"/>
      <c r="Y70" s="106"/>
      <c r="Z70" s="45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25" customFormat="1" ht="15" customHeight="1">
      <c r="A71" s="9"/>
      <c r="B71" s="266" t="s">
        <v>205</v>
      </c>
      <c r="C71" s="9" t="s">
        <v>123</v>
      </c>
      <c r="D71" s="5" t="s">
        <v>37</v>
      </c>
      <c r="E71" s="5" t="s">
        <v>140</v>
      </c>
      <c r="F71" s="5" t="s">
        <v>181</v>
      </c>
      <c r="G71" s="9" t="s">
        <v>28</v>
      </c>
      <c r="H71" s="5" t="s">
        <v>5</v>
      </c>
      <c r="I71" s="9"/>
      <c r="J71" s="265">
        <v>940800000</v>
      </c>
      <c r="K71" s="36"/>
      <c r="L71" s="37"/>
      <c r="M71" s="7" t="s">
        <v>78</v>
      </c>
      <c r="N71" s="112">
        <f>78800000+87144000+78400000</f>
        <v>244344000</v>
      </c>
      <c r="O71" s="196">
        <f t="shared" si="14"/>
        <v>25.971938775510207</v>
      </c>
      <c r="P71" s="91" t="s">
        <v>139</v>
      </c>
      <c r="Q71" s="91" t="s">
        <v>139</v>
      </c>
      <c r="R71" s="88">
        <v>73500000</v>
      </c>
      <c r="S71" s="88">
        <v>140600000</v>
      </c>
      <c r="T71" s="88">
        <f t="shared" si="12"/>
        <v>214100000</v>
      </c>
      <c r="U71" s="204">
        <f t="shared" si="15"/>
        <v>87.62236846413253</v>
      </c>
      <c r="V71" s="8">
        <f t="shared" si="13"/>
        <v>726700000</v>
      </c>
      <c r="W71" s="304">
        <f t="shared" si="11"/>
        <v>77.24277210884354</v>
      </c>
      <c r="X71" s="7"/>
      <c r="Y71" s="38"/>
      <c r="Z71" s="46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s="25" customFormat="1" ht="15" customHeight="1">
      <c r="A72" s="208"/>
      <c r="B72" s="266" t="s">
        <v>95</v>
      </c>
      <c r="C72" s="268" t="s">
        <v>124</v>
      </c>
      <c r="D72" s="5" t="s">
        <v>37</v>
      </c>
      <c r="E72" s="5" t="s">
        <v>140</v>
      </c>
      <c r="F72" s="5" t="s">
        <v>181</v>
      </c>
      <c r="G72" s="9" t="s">
        <v>28</v>
      </c>
      <c r="H72" s="5" t="s">
        <v>5</v>
      </c>
      <c r="I72" s="269"/>
      <c r="J72" s="265">
        <v>65320000</v>
      </c>
      <c r="K72" s="269"/>
      <c r="L72" s="269"/>
      <c r="M72" s="7" t="s">
        <v>78</v>
      </c>
      <c r="N72" s="209">
        <f>8344000+8344000+4132000</f>
        <v>20820000</v>
      </c>
      <c r="O72" s="196">
        <f t="shared" si="14"/>
        <v>31.87385180649112</v>
      </c>
      <c r="P72" s="91" t="s">
        <v>139</v>
      </c>
      <c r="Q72" s="91" t="s">
        <v>139</v>
      </c>
      <c r="R72" s="88">
        <v>8338000</v>
      </c>
      <c r="S72" s="88">
        <v>0</v>
      </c>
      <c r="T72" s="88">
        <f t="shared" si="12"/>
        <v>8338000</v>
      </c>
      <c r="U72" s="204">
        <f t="shared" si="15"/>
        <v>40.04803073967339</v>
      </c>
      <c r="V72" s="8">
        <f t="shared" si="13"/>
        <v>56982000</v>
      </c>
      <c r="W72" s="304">
        <f t="shared" si="11"/>
        <v>87.23515003061848</v>
      </c>
      <c r="X72" s="7"/>
      <c r="Y72" s="38"/>
      <c r="Z72" s="46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s="26" customFormat="1" ht="13.5">
      <c r="A73" s="348" t="s">
        <v>19</v>
      </c>
      <c r="B73" s="352" t="s">
        <v>17</v>
      </c>
      <c r="C73" s="350"/>
      <c r="D73" s="350"/>
      <c r="E73" s="350"/>
      <c r="F73" s="350"/>
      <c r="G73" s="350"/>
      <c r="H73" s="350"/>
      <c r="I73" s="350"/>
      <c r="J73" s="351">
        <f>J75</f>
        <v>2016052000</v>
      </c>
      <c r="K73" s="351"/>
      <c r="L73" s="351"/>
      <c r="M73" s="351"/>
      <c r="N73" s="353">
        <f>N75</f>
        <v>503538000</v>
      </c>
      <c r="O73" s="355"/>
      <c r="P73" s="351"/>
      <c r="Q73" s="351"/>
      <c r="R73" s="353">
        <f>R75</f>
        <v>83413172</v>
      </c>
      <c r="S73" s="353">
        <f>S75</f>
        <v>110857206</v>
      </c>
      <c r="T73" s="353">
        <f>T75</f>
        <v>194270378</v>
      </c>
      <c r="U73" s="357">
        <f t="shared" si="15"/>
        <v>38.581075906882894</v>
      </c>
      <c r="V73" s="351">
        <f>V75</f>
        <v>1821781622</v>
      </c>
      <c r="W73" s="357">
        <f>T73/J73*100</f>
        <v>9.636178927924478</v>
      </c>
      <c r="X73" s="351"/>
      <c r="Y73" s="106"/>
      <c r="Z73" s="45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26" customFormat="1" ht="12" customHeight="1">
      <c r="A74" s="348"/>
      <c r="B74" s="35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54"/>
      <c r="O74" s="356"/>
      <c r="P74" s="348"/>
      <c r="Q74" s="348"/>
      <c r="R74" s="354"/>
      <c r="S74" s="354"/>
      <c r="T74" s="354"/>
      <c r="U74" s="358"/>
      <c r="V74" s="348"/>
      <c r="W74" s="358"/>
      <c r="X74" s="348"/>
      <c r="Y74" s="52"/>
      <c r="Z74" s="45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140" customFormat="1" ht="27.75" customHeight="1">
      <c r="A75" s="142"/>
      <c r="B75" s="143" t="s">
        <v>96</v>
      </c>
      <c r="C75" s="144" t="s">
        <v>125</v>
      </c>
      <c r="D75" s="132" t="s">
        <v>37</v>
      </c>
      <c r="E75" s="132" t="s">
        <v>140</v>
      </c>
      <c r="F75" s="132" t="s">
        <v>75</v>
      </c>
      <c r="G75" s="130" t="s">
        <v>28</v>
      </c>
      <c r="H75" s="132" t="s">
        <v>5</v>
      </c>
      <c r="I75" s="142"/>
      <c r="J75" s="145">
        <f>J76+J83</f>
        <v>2016052000</v>
      </c>
      <c r="K75" s="142"/>
      <c r="L75" s="142"/>
      <c r="M75" s="142"/>
      <c r="N75" s="146">
        <f>N76+N83</f>
        <v>503538000</v>
      </c>
      <c r="O75" s="197"/>
      <c r="P75" s="142"/>
      <c r="Q75" s="142"/>
      <c r="R75" s="146">
        <f>R76+R83</f>
        <v>83413172</v>
      </c>
      <c r="S75" s="146">
        <f>S76+S83</f>
        <v>110857206</v>
      </c>
      <c r="T75" s="146">
        <f>T76+T83</f>
        <v>194270378</v>
      </c>
      <c r="U75" s="190">
        <f aca="true" t="shared" si="16" ref="U75:U102">T75/N75*100</f>
        <v>38.581075906882894</v>
      </c>
      <c r="V75" s="174">
        <f>V76+V83</f>
        <v>1821781622</v>
      </c>
      <c r="W75" s="190">
        <f>T75/J75*100</f>
        <v>9.636178927924478</v>
      </c>
      <c r="X75" s="142"/>
      <c r="Y75" s="41"/>
      <c r="Z75" s="45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126" customFormat="1" ht="15" customHeight="1">
      <c r="A76" s="147"/>
      <c r="B76" s="129" t="s">
        <v>83</v>
      </c>
      <c r="C76" s="161"/>
      <c r="D76" s="120"/>
      <c r="E76" s="120"/>
      <c r="F76" s="120"/>
      <c r="G76" s="118"/>
      <c r="H76" s="120"/>
      <c r="I76" s="147"/>
      <c r="J76" s="162">
        <f>J77+J79+J81</f>
        <v>29124000</v>
      </c>
      <c r="K76" s="162"/>
      <c r="L76" s="162"/>
      <c r="M76" s="162"/>
      <c r="N76" s="162">
        <f aca="true" t="shared" si="17" ref="N76:T76">N77+N79+N81</f>
        <v>7281000</v>
      </c>
      <c r="O76" s="211"/>
      <c r="P76" s="162"/>
      <c r="Q76" s="162"/>
      <c r="R76" s="148">
        <f t="shared" si="17"/>
        <v>0</v>
      </c>
      <c r="S76" s="148">
        <f t="shared" si="17"/>
        <v>1350000</v>
      </c>
      <c r="T76" s="148">
        <f t="shared" si="17"/>
        <v>1350000</v>
      </c>
      <c r="U76" s="212">
        <f t="shared" si="16"/>
        <v>18.541409147095177</v>
      </c>
      <c r="V76" s="162">
        <f>V77+V79+V81</f>
        <v>27774000</v>
      </c>
      <c r="W76" s="212">
        <f>V76/J76*100</f>
        <v>95.3646477132262</v>
      </c>
      <c r="X76" s="162"/>
      <c r="Y76" s="41"/>
      <c r="Z76" s="45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26" s="43" customFormat="1" ht="15" customHeight="1">
      <c r="A77" s="29"/>
      <c r="B77" s="96" t="s">
        <v>149</v>
      </c>
      <c r="C77" s="163">
        <v>1001</v>
      </c>
      <c r="D77" s="107" t="s">
        <v>76</v>
      </c>
      <c r="E77" s="107" t="s">
        <v>140</v>
      </c>
      <c r="F77" s="107" t="s">
        <v>75</v>
      </c>
      <c r="G77" s="108" t="s">
        <v>28</v>
      </c>
      <c r="H77" s="107" t="s">
        <v>5</v>
      </c>
      <c r="I77" s="29"/>
      <c r="J77" s="243">
        <f>J78</f>
        <v>8100000</v>
      </c>
      <c r="K77" s="29"/>
      <c r="L77" s="29"/>
      <c r="M77" s="29"/>
      <c r="N77" s="90">
        <f>N78</f>
        <v>2025000</v>
      </c>
      <c r="O77" s="200">
        <f aca="true" t="shared" si="18" ref="O77:O82">N77/J77*100</f>
        <v>25</v>
      </c>
      <c r="P77" s="90" t="str">
        <f>P78</f>
        <v>jan</v>
      </c>
      <c r="Q77" s="90" t="s">
        <v>309</v>
      </c>
      <c r="R77" s="90">
        <f>R78</f>
        <v>0</v>
      </c>
      <c r="S77" s="90">
        <f>S78</f>
        <v>1350000</v>
      </c>
      <c r="T77" s="90">
        <f>T78</f>
        <v>1350000</v>
      </c>
      <c r="U77" s="164">
        <f t="shared" si="16"/>
        <v>66.66666666666666</v>
      </c>
      <c r="V77" s="90">
        <f>V78</f>
        <v>6750000</v>
      </c>
      <c r="W77" s="164">
        <f aca="true" t="shared" si="19" ref="W77:W82">V77/J77*100</f>
        <v>83.33333333333334</v>
      </c>
      <c r="X77" s="90"/>
      <c r="Y77" s="41"/>
      <c r="Z77" s="45"/>
    </row>
    <row r="78" spans="1:26" s="44" customFormat="1" ht="12.75" customHeight="1">
      <c r="A78" s="27"/>
      <c r="B78" s="6" t="s">
        <v>148</v>
      </c>
      <c r="C78" s="35" t="s">
        <v>147</v>
      </c>
      <c r="D78" s="84" t="s">
        <v>76</v>
      </c>
      <c r="E78" s="84" t="s">
        <v>140</v>
      </c>
      <c r="F78" s="84" t="s">
        <v>75</v>
      </c>
      <c r="G78" s="87" t="s">
        <v>28</v>
      </c>
      <c r="H78" s="84" t="s">
        <v>5</v>
      </c>
      <c r="I78" s="27"/>
      <c r="J78" s="248">
        <v>8100000</v>
      </c>
      <c r="K78" s="27"/>
      <c r="L78" s="27"/>
      <c r="M78" s="27" t="s">
        <v>78</v>
      </c>
      <c r="N78" s="149">
        <f>675000+675000+675000</f>
        <v>2025000</v>
      </c>
      <c r="O78" s="200">
        <f t="shared" si="18"/>
        <v>25</v>
      </c>
      <c r="P78" s="91" t="s">
        <v>139</v>
      </c>
      <c r="Q78" s="91" t="s">
        <v>309</v>
      </c>
      <c r="R78" s="149"/>
      <c r="S78" s="149">
        <v>1350000</v>
      </c>
      <c r="T78" s="149">
        <f>R78+S78</f>
        <v>1350000</v>
      </c>
      <c r="U78" s="164">
        <f t="shared" si="16"/>
        <v>66.66666666666666</v>
      </c>
      <c r="V78" s="149">
        <f>J78-T78</f>
        <v>6750000</v>
      </c>
      <c r="W78" s="164">
        <f t="shared" si="19"/>
        <v>83.33333333333334</v>
      </c>
      <c r="X78" s="27"/>
      <c r="Y78" s="165"/>
      <c r="Z78" s="46"/>
    </row>
    <row r="79" spans="1:26" s="43" customFormat="1" ht="12.75" customHeight="1">
      <c r="A79" s="29"/>
      <c r="B79" s="242" t="s">
        <v>222</v>
      </c>
      <c r="C79" s="210" t="s">
        <v>225</v>
      </c>
      <c r="D79" s="107" t="s">
        <v>76</v>
      </c>
      <c r="E79" s="107" t="s">
        <v>140</v>
      </c>
      <c r="F79" s="107" t="s">
        <v>75</v>
      </c>
      <c r="G79" s="108" t="s">
        <v>28</v>
      </c>
      <c r="H79" s="107" t="s">
        <v>5</v>
      </c>
      <c r="I79" s="29"/>
      <c r="J79" s="243">
        <f>J80</f>
        <v>18000000</v>
      </c>
      <c r="K79" s="29"/>
      <c r="L79" s="29"/>
      <c r="M79" s="29"/>
      <c r="N79" s="90">
        <f>N80</f>
        <v>4500000</v>
      </c>
      <c r="O79" s="200">
        <f t="shared" si="18"/>
        <v>25</v>
      </c>
      <c r="P79" s="90" t="str">
        <f aca="true" t="shared" si="20" ref="P79:V79">P80</f>
        <v>jan</v>
      </c>
      <c r="Q79" s="90" t="s">
        <v>309</v>
      </c>
      <c r="R79" s="90">
        <f t="shared" si="20"/>
        <v>0</v>
      </c>
      <c r="S79" s="90">
        <f t="shared" si="20"/>
        <v>0</v>
      </c>
      <c r="T79" s="90">
        <f t="shared" si="20"/>
        <v>0</v>
      </c>
      <c r="U79" s="164">
        <f t="shared" si="16"/>
        <v>0</v>
      </c>
      <c r="V79" s="90">
        <f t="shared" si="20"/>
        <v>18000000</v>
      </c>
      <c r="W79" s="164">
        <f t="shared" si="19"/>
        <v>100</v>
      </c>
      <c r="X79" s="90"/>
      <c r="Y79" s="41"/>
      <c r="Z79" s="45"/>
    </row>
    <row r="80" spans="1:26" s="44" customFormat="1" ht="12.75" customHeight="1">
      <c r="A80" s="27"/>
      <c r="B80" s="247" t="s">
        <v>223</v>
      </c>
      <c r="C80" s="35" t="s">
        <v>226</v>
      </c>
      <c r="D80" s="84" t="s">
        <v>76</v>
      </c>
      <c r="E80" s="84" t="s">
        <v>140</v>
      </c>
      <c r="F80" s="84" t="s">
        <v>75</v>
      </c>
      <c r="G80" s="87" t="s">
        <v>28</v>
      </c>
      <c r="H80" s="84" t="s">
        <v>5</v>
      </c>
      <c r="I80" s="27"/>
      <c r="J80" s="248">
        <v>18000000</v>
      </c>
      <c r="K80" s="27"/>
      <c r="L80" s="27"/>
      <c r="M80" s="27" t="s">
        <v>78</v>
      </c>
      <c r="N80" s="149">
        <f>1500000+1500000+1500000</f>
        <v>4500000</v>
      </c>
      <c r="O80" s="200">
        <f t="shared" si="18"/>
        <v>25</v>
      </c>
      <c r="P80" s="91" t="s">
        <v>139</v>
      </c>
      <c r="Q80" s="91" t="s">
        <v>309</v>
      </c>
      <c r="R80" s="149"/>
      <c r="S80" s="149"/>
      <c r="T80" s="149"/>
      <c r="U80" s="164">
        <f t="shared" si="16"/>
        <v>0</v>
      </c>
      <c r="V80" s="149">
        <f>J80-T80</f>
        <v>18000000</v>
      </c>
      <c r="W80" s="164">
        <f t="shared" si="19"/>
        <v>100</v>
      </c>
      <c r="X80" s="27"/>
      <c r="Y80" s="165"/>
      <c r="Z80" s="46"/>
    </row>
    <row r="81" spans="1:26" s="43" customFormat="1" ht="12.75" customHeight="1">
      <c r="A81" s="29"/>
      <c r="B81" s="242" t="s">
        <v>160</v>
      </c>
      <c r="C81" s="210" t="s">
        <v>227</v>
      </c>
      <c r="D81" s="107" t="s">
        <v>76</v>
      </c>
      <c r="E81" s="107" t="s">
        <v>140</v>
      </c>
      <c r="F81" s="107" t="s">
        <v>75</v>
      </c>
      <c r="G81" s="108" t="s">
        <v>28</v>
      </c>
      <c r="H81" s="107" t="s">
        <v>5</v>
      </c>
      <c r="I81" s="29"/>
      <c r="J81" s="243">
        <f>J82</f>
        <v>3024000</v>
      </c>
      <c r="K81" s="29"/>
      <c r="L81" s="29"/>
      <c r="M81" s="29"/>
      <c r="N81" s="90">
        <f>N82</f>
        <v>756000</v>
      </c>
      <c r="O81" s="200">
        <f t="shared" si="18"/>
        <v>25</v>
      </c>
      <c r="P81" s="90" t="str">
        <f aca="true" t="shared" si="21" ref="P81:V81">P82</f>
        <v>jan</v>
      </c>
      <c r="Q81" s="90" t="s">
        <v>309</v>
      </c>
      <c r="R81" s="90">
        <f t="shared" si="21"/>
        <v>0</v>
      </c>
      <c r="S81" s="90">
        <f t="shared" si="21"/>
        <v>0</v>
      </c>
      <c r="T81" s="90">
        <f t="shared" si="21"/>
        <v>0</v>
      </c>
      <c r="U81" s="164">
        <f t="shared" si="16"/>
        <v>0</v>
      </c>
      <c r="V81" s="90">
        <f t="shared" si="21"/>
        <v>3024000</v>
      </c>
      <c r="W81" s="164">
        <f t="shared" si="19"/>
        <v>100</v>
      </c>
      <c r="X81" s="90"/>
      <c r="Y81" s="41"/>
      <c r="Z81" s="45"/>
    </row>
    <row r="82" spans="1:26" s="44" customFormat="1" ht="12.75" customHeight="1">
      <c r="A82" s="27"/>
      <c r="B82" s="247" t="s">
        <v>224</v>
      </c>
      <c r="C82" s="35" t="s">
        <v>207</v>
      </c>
      <c r="D82" s="84" t="s">
        <v>76</v>
      </c>
      <c r="E82" s="84" t="s">
        <v>140</v>
      </c>
      <c r="F82" s="84" t="s">
        <v>75</v>
      </c>
      <c r="G82" s="87" t="s">
        <v>28</v>
      </c>
      <c r="H82" s="84" t="s">
        <v>5</v>
      </c>
      <c r="I82" s="27"/>
      <c r="J82" s="248">
        <v>3024000</v>
      </c>
      <c r="K82" s="27"/>
      <c r="L82" s="27"/>
      <c r="M82" s="27" t="s">
        <v>78</v>
      </c>
      <c r="N82" s="149">
        <f>252000+252000+252000</f>
        <v>756000</v>
      </c>
      <c r="O82" s="200">
        <f t="shared" si="18"/>
        <v>25</v>
      </c>
      <c r="P82" s="91" t="s">
        <v>139</v>
      </c>
      <c r="Q82" s="91" t="s">
        <v>309</v>
      </c>
      <c r="R82" s="149"/>
      <c r="S82" s="149"/>
      <c r="T82" s="149"/>
      <c r="U82" s="164">
        <f t="shared" si="16"/>
        <v>0</v>
      </c>
      <c r="V82" s="181">
        <f>J82-T82</f>
        <v>3024000</v>
      </c>
      <c r="W82" s="164">
        <f t="shared" si="19"/>
        <v>100</v>
      </c>
      <c r="X82" s="27"/>
      <c r="Y82" s="165"/>
      <c r="Z82" s="46"/>
    </row>
    <row r="83" spans="1:35" s="126" customFormat="1" ht="16.5" customHeight="1">
      <c r="A83" s="118"/>
      <c r="B83" s="127" t="s">
        <v>79</v>
      </c>
      <c r="C83" s="118"/>
      <c r="D83" s="120"/>
      <c r="E83" s="120"/>
      <c r="F83" s="120"/>
      <c r="G83" s="118"/>
      <c r="H83" s="120"/>
      <c r="I83" s="118" t="s">
        <v>28</v>
      </c>
      <c r="J83" s="121">
        <f>J84+J86+J89+J92+J94+J100</f>
        <v>1986928000</v>
      </c>
      <c r="K83" s="121"/>
      <c r="L83" s="121"/>
      <c r="M83" s="121"/>
      <c r="N83" s="121">
        <f aca="true" t="shared" si="22" ref="N83:V83">N84+N86+N89+N92+N94+N100</f>
        <v>496257000</v>
      </c>
      <c r="O83" s="299">
        <f>N83/J83*100</f>
        <v>24.976093748741775</v>
      </c>
      <c r="P83" s="121"/>
      <c r="Q83" s="121"/>
      <c r="R83" s="123">
        <f t="shared" si="22"/>
        <v>83413172</v>
      </c>
      <c r="S83" s="123">
        <f t="shared" si="22"/>
        <v>109507206</v>
      </c>
      <c r="T83" s="123">
        <f>T84+T86+T89+T92+T94+T100</f>
        <v>192920378</v>
      </c>
      <c r="U83" s="300">
        <f t="shared" si="16"/>
        <v>38.87509455786014</v>
      </c>
      <c r="V83" s="121">
        <f t="shared" si="22"/>
        <v>1794007622</v>
      </c>
      <c r="W83" s="300">
        <f>V83/J83*100</f>
        <v>90.29051993831683</v>
      </c>
      <c r="X83" s="121"/>
      <c r="Y83" s="41"/>
      <c r="Z83" s="45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26" customFormat="1" ht="13.5">
      <c r="A84" s="10"/>
      <c r="B84" s="83" t="s">
        <v>97</v>
      </c>
      <c r="C84" s="10" t="s">
        <v>126</v>
      </c>
      <c r="D84" s="102" t="s">
        <v>37</v>
      </c>
      <c r="E84" s="102" t="s">
        <v>140</v>
      </c>
      <c r="F84" s="84" t="s">
        <v>75</v>
      </c>
      <c r="G84" s="10" t="s">
        <v>28</v>
      </c>
      <c r="H84" s="102" t="s">
        <v>5</v>
      </c>
      <c r="I84" s="10"/>
      <c r="J84" s="98">
        <f>J85</f>
        <v>1373100000</v>
      </c>
      <c r="K84" s="98"/>
      <c r="L84" s="98"/>
      <c r="M84" s="98"/>
      <c r="N84" s="98">
        <f>N85</f>
        <v>343275000</v>
      </c>
      <c r="O84" s="196">
        <f>N84/J84*100</f>
        <v>25</v>
      </c>
      <c r="P84" s="91" t="s">
        <v>139</v>
      </c>
      <c r="Q84" s="91" t="s">
        <v>309</v>
      </c>
      <c r="R84" s="109">
        <f>R85</f>
        <v>65413172</v>
      </c>
      <c r="S84" s="109">
        <f>S85</f>
        <v>63757206</v>
      </c>
      <c r="T84" s="109">
        <f>T85</f>
        <v>129170378</v>
      </c>
      <c r="U84" s="191">
        <f t="shared" si="16"/>
        <v>37.62883344257519</v>
      </c>
      <c r="V84" s="176">
        <f>V85</f>
        <v>1243929622</v>
      </c>
      <c r="W84" s="191">
        <f>V84/J84*100</f>
        <v>90.5927916393562</v>
      </c>
      <c r="X84" s="105"/>
      <c r="Y84" s="106"/>
      <c r="Z84" s="45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25" customFormat="1" ht="13.5">
      <c r="A85" s="9"/>
      <c r="B85" s="34" t="s">
        <v>98</v>
      </c>
      <c r="C85" s="9" t="s">
        <v>127</v>
      </c>
      <c r="D85" s="5" t="s">
        <v>37</v>
      </c>
      <c r="E85" s="5" t="s">
        <v>140</v>
      </c>
      <c r="F85" s="84" t="s">
        <v>75</v>
      </c>
      <c r="G85" s="9" t="s">
        <v>28</v>
      </c>
      <c r="H85" s="5" t="s">
        <v>5</v>
      </c>
      <c r="I85" s="9" t="s">
        <v>28</v>
      </c>
      <c r="J85" s="11">
        <v>1373100000</v>
      </c>
      <c r="K85" s="82"/>
      <c r="L85" s="37"/>
      <c r="M85" s="7" t="s">
        <v>78</v>
      </c>
      <c r="N85" s="112">
        <f>114425000+114425000+114425000</f>
        <v>343275000</v>
      </c>
      <c r="O85" s="196">
        <f aca="true" t="shared" si="23" ref="O85:O102">N85/J85*100</f>
        <v>25</v>
      </c>
      <c r="P85" s="91" t="s">
        <v>139</v>
      </c>
      <c r="Q85" s="91" t="s">
        <v>309</v>
      </c>
      <c r="R85" s="12">
        <f>59450862+5962310</f>
        <v>65413172</v>
      </c>
      <c r="S85" s="12">
        <v>63757206</v>
      </c>
      <c r="T85" s="12">
        <f>R85+S85</f>
        <v>129170378</v>
      </c>
      <c r="U85" s="191">
        <f t="shared" si="16"/>
        <v>37.62883344257519</v>
      </c>
      <c r="V85" s="181">
        <f>J85-T85</f>
        <v>1243929622</v>
      </c>
      <c r="W85" s="191">
        <f aca="true" t="shared" si="24" ref="W85:W102">V85/J85*100</f>
        <v>90.5927916393562</v>
      </c>
      <c r="X85" s="7"/>
      <c r="Y85" s="38"/>
      <c r="Z85" s="46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s="26" customFormat="1" ht="13.5">
      <c r="A86" s="10"/>
      <c r="B86" s="28" t="s">
        <v>94</v>
      </c>
      <c r="C86" s="10" t="s">
        <v>122</v>
      </c>
      <c r="D86" s="102" t="s">
        <v>37</v>
      </c>
      <c r="E86" s="102" t="s">
        <v>140</v>
      </c>
      <c r="F86" s="84" t="s">
        <v>75</v>
      </c>
      <c r="G86" s="10" t="s">
        <v>28</v>
      </c>
      <c r="H86" s="102" t="s">
        <v>5</v>
      </c>
      <c r="I86" s="10"/>
      <c r="J86" s="98">
        <f>J87+J88</f>
        <v>282178000</v>
      </c>
      <c r="K86" s="98"/>
      <c r="L86" s="98"/>
      <c r="M86" s="98"/>
      <c r="N86" s="98">
        <f>N87+N88</f>
        <v>51042000</v>
      </c>
      <c r="O86" s="196">
        <f t="shared" si="23"/>
        <v>18.08858238416886</v>
      </c>
      <c r="P86" s="91" t="s">
        <v>139</v>
      </c>
      <c r="Q86" s="91" t="s">
        <v>309</v>
      </c>
      <c r="R86" s="109">
        <f>R87</f>
        <v>18000000</v>
      </c>
      <c r="S86" s="109">
        <f>S87</f>
        <v>36000000</v>
      </c>
      <c r="T86" s="109">
        <f>T87</f>
        <v>54000000</v>
      </c>
      <c r="U86" s="191">
        <f t="shared" si="16"/>
        <v>105.79522745973904</v>
      </c>
      <c r="V86" s="176">
        <f>V88+V87</f>
        <v>228178000</v>
      </c>
      <c r="W86" s="191">
        <f>V86/J86*100</f>
        <v>80.86314312242628</v>
      </c>
      <c r="X86" s="105"/>
      <c r="Y86" s="106"/>
      <c r="Z86" s="45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25" customFormat="1" ht="13.5">
      <c r="A87" s="9"/>
      <c r="B87" s="34" t="s">
        <v>99</v>
      </c>
      <c r="C87" s="9" t="s">
        <v>123</v>
      </c>
      <c r="D87" s="5" t="s">
        <v>37</v>
      </c>
      <c r="E87" s="5" t="s">
        <v>140</v>
      </c>
      <c r="F87" s="84" t="s">
        <v>75</v>
      </c>
      <c r="G87" s="9" t="s">
        <v>28</v>
      </c>
      <c r="H87" s="5" t="s">
        <v>5</v>
      </c>
      <c r="I87" s="9"/>
      <c r="J87" s="11">
        <v>234000000</v>
      </c>
      <c r="K87" s="82"/>
      <c r="L87" s="37"/>
      <c r="M87" s="7" t="s">
        <v>78</v>
      </c>
      <c r="N87" s="112">
        <f>19500000+19500000</f>
        <v>39000000</v>
      </c>
      <c r="O87" s="196">
        <f t="shared" si="23"/>
        <v>16.666666666666664</v>
      </c>
      <c r="P87" s="91" t="s">
        <v>139</v>
      </c>
      <c r="Q87" s="91" t="s">
        <v>309</v>
      </c>
      <c r="R87" s="12">
        <v>18000000</v>
      </c>
      <c r="S87" s="12">
        <v>36000000</v>
      </c>
      <c r="T87" s="12">
        <f>R87+S87</f>
        <v>54000000</v>
      </c>
      <c r="U87" s="191">
        <f t="shared" si="16"/>
        <v>138.46153846153845</v>
      </c>
      <c r="V87" s="181">
        <f>J87-T87</f>
        <v>180000000</v>
      </c>
      <c r="W87" s="191">
        <f t="shared" si="24"/>
        <v>76.92307692307693</v>
      </c>
      <c r="X87" s="7"/>
      <c r="Y87" s="38"/>
      <c r="Z87" s="46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s="25" customFormat="1" ht="13.5">
      <c r="A88" s="9"/>
      <c r="B88" s="34" t="s">
        <v>95</v>
      </c>
      <c r="C88" s="9" t="s">
        <v>124</v>
      </c>
      <c r="D88" s="5" t="s">
        <v>37</v>
      </c>
      <c r="E88" s="5" t="s">
        <v>140</v>
      </c>
      <c r="F88" s="84" t="s">
        <v>75</v>
      </c>
      <c r="G88" s="9" t="s">
        <v>28</v>
      </c>
      <c r="H88" s="5" t="s">
        <v>5</v>
      </c>
      <c r="I88" s="9"/>
      <c r="J88" s="11">
        <v>48178000</v>
      </c>
      <c r="K88" s="82"/>
      <c r="L88" s="37"/>
      <c r="M88" s="7" t="s">
        <v>78</v>
      </c>
      <c r="N88" s="112">
        <f>4014000+4014000+4014000</f>
        <v>12042000</v>
      </c>
      <c r="O88" s="196">
        <f t="shared" si="23"/>
        <v>24.994810909543773</v>
      </c>
      <c r="P88" s="91" t="s">
        <v>139</v>
      </c>
      <c r="Q88" s="91" t="s">
        <v>309</v>
      </c>
      <c r="R88" s="12"/>
      <c r="S88" s="12"/>
      <c r="T88" s="12"/>
      <c r="U88" s="191">
        <f t="shared" si="16"/>
        <v>0</v>
      </c>
      <c r="V88" s="181">
        <f>J88-T88</f>
        <v>48178000</v>
      </c>
      <c r="W88" s="191">
        <f t="shared" si="24"/>
        <v>100</v>
      </c>
      <c r="X88" s="7"/>
      <c r="Y88" s="38"/>
      <c r="Z88" s="46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s="26" customFormat="1" ht="13.5">
      <c r="A89" s="10"/>
      <c r="B89" s="28" t="s">
        <v>228</v>
      </c>
      <c r="C89" s="159" t="s">
        <v>231</v>
      </c>
      <c r="D89" s="102" t="s">
        <v>37</v>
      </c>
      <c r="E89" s="102" t="s">
        <v>140</v>
      </c>
      <c r="F89" s="107" t="s">
        <v>75</v>
      </c>
      <c r="G89" s="10" t="s">
        <v>28</v>
      </c>
      <c r="H89" s="102" t="s">
        <v>5</v>
      </c>
      <c r="I89" s="10"/>
      <c r="J89" s="98">
        <f>SUM(J90:J91)</f>
        <v>24500000</v>
      </c>
      <c r="K89" s="98"/>
      <c r="L89" s="98"/>
      <c r="M89" s="98"/>
      <c r="N89" s="98">
        <f>SUM(N90:N93)</f>
        <v>8500000</v>
      </c>
      <c r="O89" s="196">
        <f t="shared" si="23"/>
        <v>34.69387755102041</v>
      </c>
      <c r="P89" s="91" t="s">
        <v>139</v>
      </c>
      <c r="Q89" s="91" t="s">
        <v>309</v>
      </c>
      <c r="R89" s="110">
        <f>SUM(R90:R93)</f>
        <v>0</v>
      </c>
      <c r="S89" s="110">
        <f>SUM(S90:S93)</f>
        <v>0</v>
      </c>
      <c r="T89" s="110">
        <f>SUM(T90:T93)</f>
        <v>0</v>
      </c>
      <c r="U89" s="191">
        <f t="shared" si="16"/>
        <v>0</v>
      </c>
      <c r="V89" s="98">
        <f>SUM(V90:V91)</f>
        <v>24500000</v>
      </c>
      <c r="W89" s="191">
        <f t="shared" si="24"/>
        <v>100</v>
      </c>
      <c r="X89" s="98">
        <f>SUM(X90:X93)</f>
        <v>0</v>
      </c>
      <c r="Y89" s="106"/>
      <c r="Z89" s="45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25" customFormat="1" ht="13.5">
      <c r="A90" s="9"/>
      <c r="B90" s="247" t="s">
        <v>229</v>
      </c>
      <c r="C90" s="158" t="s">
        <v>232</v>
      </c>
      <c r="D90" s="5" t="s">
        <v>37</v>
      </c>
      <c r="E90" s="5" t="s">
        <v>140</v>
      </c>
      <c r="F90" s="84" t="s">
        <v>75</v>
      </c>
      <c r="G90" s="9" t="s">
        <v>28</v>
      </c>
      <c r="H90" s="5" t="s">
        <v>5</v>
      </c>
      <c r="I90" s="9"/>
      <c r="J90" s="11">
        <v>12000000</v>
      </c>
      <c r="K90" s="82"/>
      <c r="L90" s="37"/>
      <c r="M90" s="7" t="s">
        <v>78</v>
      </c>
      <c r="N90" s="112">
        <f>1000000+1000000+1000000</f>
        <v>3000000</v>
      </c>
      <c r="O90" s="196">
        <f t="shared" si="23"/>
        <v>25</v>
      </c>
      <c r="P90" s="91" t="s">
        <v>139</v>
      </c>
      <c r="Q90" s="91" t="s">
        <v>309</v>
      </c>
      <c r="R90" s="12"/>
      <c r="S90" s="12"/>
      <c r="T90" s="12"/>
      <c r="U90" s="191">
        <f t="shared" si="16"/>
        <v>0</v>
      </c>
      <c r="V90" s="181">
        <f>J90-T90</f>
        <v>12000000</v>
      </c>
      <c r="W90" s="191">
        <f t="shared" si="24"/>
        <v>100</v>
      </c>
      <c r="X90" s="7"/>
      <c r="Y90" s="38"/>
      <c r="Z90" s="46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s="25" customFormat="1" ht="13.5">
      <c r="A91" s="9"/>
      <c r="B91" s="247" t="s">
        <v>230</v>
      </c>
      <c r="C91" s="158" t="s">
        <v>233</v>
      </c>
      <c r="D91" s="5" t="s">
        <v>37</v>
      </c>
      <c r="E91" s="5" t="s">
        <v>140</v>
      </c>
      <c r="F91" s="84" t="s">
        <v>75</v>
      </c>
      <c r="G91" s="9" t="s">
        <v>28</v>
      </c>
      <c r="H91" s="5" t="s">
        <v>5</v>
      </c>
      <c r="I91" s="9"/>
      <c r="J91" s="11">
        <v>12500000</v>
      </c>
      <c r="K91" s="82"/>
      <c r="L91" s="37"/>
      <c r="M91" s="7" t="s">
        <v>78</v>
      </c>
      <c r="N91" s="112">
        <f>1000000+1500000+1000000</f>
        <v>3500000</v>
      </c>
      <c r="O91" s="196">
        <f t="shared" si="23"/>
        <v>28.000000000000004</v>
      </c>
      <c r="P91" s="91" t="s">
        <v>139</v>
      </c>
      <c r="Q91" s="91" t="s">
        <v>309</v>
      </c>
      <c r="R91" s="12"/>
      <c r="S91" s="12"/>
      <c r="T91" s="12"/>
      <c r="U91" s="191">
        <f t="shared" si="16"/>
        <v>0</v>
      </c>
      <c r="V91" s="181">
        <f>J91-T91</f>
        <v>12500000</v>
      </c>
      <c r="W91" s="191">
        <f t="shared" si="24"/>
        <v>100</v>
      </c>
      <c r="X91" s="7"/>
      <c r="Y91" s="38"/>
      <c r="Z91" s="46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s="26" customFormat="1" ht="13.5">
      <c r="A92" s="10"/>
      <c r="B92" s="242" t="s">
        <v>234</v>
      </c>
      <c r="C92" s="159" t="s">
        <v>235</v>
      </c>
      <c r="D92" s="102" t="s">
        <v>37</v>
      </c>
      <c r="E92" s="102" t="s">
        <v>308</v>
      </c>
      <c r="F92" s="107" t="s">
        <v>75</v>
      </c>
      <c r="G92" s="10" t="s">
        <v>28</v>
      </c>
      <c r="H92" s="102" t="s">
        <v>5</v>
      </c>
      <c r="I92" s="10"/>
      <c r="J92" s="98">
        <f>J93</f>
        <v>2550000</v>
      </c>
      <c r="K92" s="98"/>
      <c r="L92" s="98"/>
      <c r="M92" s="98"/>
      <c r="N92" s="98">
        <f>N93</f>
        <v>1000000</v>
      </c>
      <c r="O92" s="196">
        <f t="shared" si="23"/>
        <v>39.21568627450981</v>
      </c>
      <c r="P92" s="91" t="s">
        <v>139</v>
      </c>
      <c r="Q92" s="91" t="s">
        <v>309</v>
      </c>
      <c r="R92" s="110">
        <f>R93</f>
        <v>0</v>
      </c>
      <c r="S92" s="110">
        <f>S93</f>
        <v>0</v>
      </c>
      <c r="T92" s="110">
        <f>T93</f>
        <v>0</v>
      </c>
      <c r="U92" s="191">
        <v>0</v>
      </c>
      <c r="V92" s="98">
        <f>V93</f>
        <v>2550000</v>
      </c>
      <c r="W92" s="191">
        <f t="shared" si="24"/>
        <v>100</v>
      </c>
      <c r="X92" s="98">
        <f>X93</f>
        <v>0</v>
      </c>
      <c r="Y92" s="106"/>
      <c r="Z92" s="45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25" customFormat="1" ht="13.5">
      <c r="A93" s="9"/>
      <c r="B93" s="247" t="s">
        <v>150</v>
      </c>
      <c r="C93" s="158" t="s">
        <v>236</v>
      </c>
      <c r="D93" s="5" t="s">
        <v>37</v>
      </c>
      <c r="E93" s="5" t="s">
        <v>308</v>
      </c>
      <c r="F93" s="84" t="s">
        <v>75</v>
      </c>
      <c r="G93" s="9" t="s">
        <v>28</v>
      </c>
      <c r="H93" s="5" t="s">
        <v>5</v>
      </c>
      <c r="I93" s="9"/>
      <c r="J93" s="11">
        <v>2550000</v>
      </c>
      <c r="K93" s="82"/>
      <c r="L93" s="37"/>
      <c r="M93" s="7" t="s">
        <v>78</v>
      </c>
      <c r="N93" s="112">
        <v>1000000</v>
      </c>
      <c r="O93" s="196">
        <f t="shared" si="23"/>
        <v>39.21568627450981</v>
      </c>
      <c r="P93" s="91" t="s">
        <v>309</v>
      </c>
      <c r="Q93" s="91" t="s">
        <v>309</v>
      </c>
      <c r="R93" s="12"/>
      <c r="S93" s="12"/>
      <c r="T93" s="12"/>
      <c r="U93" s="191">
        <v>0</v>
      </c>
      <c r="V93" s="181">
        <f>J93-T93</f>
        <v>2550000</v>
      </c>
      <c r="W93" s="191">
        <f t="shared" si="24"/>
        <v>100</v>
      </c>
      <c r="X93" s="7"/>
      <c r="Y93" s="38"/>
      <c r="Z93" s="46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s="26" customFormat="1" ht="13.5">
      <c r="A94" s="10"/>
      <c r="B94" s="28" t="s">
        <v>151</v>
      </c>
      <c r="C94" s="159">
        <v>2124</v>
      </c>
      <c r="D94" s="102" t="s">
        <v>76</v>
      </c>
      <c r="E94" s="102" t="s">
        <v>140</v>
      </c>
      <c r="F94" s="84" t="s">
        <v>75</v>
      </c>
      <c r="G94" s="10" t="s">
        <v>28</v>
      </c>
      <c r="H94" s="102" t="s">
        <v>5</v>
      </c>
      <c r="I94" s="10"/>
      <c r="J94" s="98">
        <f>SUM(J95:J99)</f>
        <v>177700000</v>
      </c>
      <c r="K94" s="98"/>
      <c r="L94" s="98"/>
      <c r="M94" s="98"/>
      <c r="N94" s="98">
        <f>SUM(N95:N99)</f>
        <v>60715000</v>
      </c>
      <c r="O94" s="196">
        <f t="shared" si="23"/>
        <v>34.167135621834554</v>
      </c>
      <c r="P94" s="91" t="s">
        <v>139</v>
      </c>
      <c r="Q94" s="91" t="s">
        <v>309</v>
      </c>
      <c r="R94" s="111">
        <f>SUM(R95:R99)</f>
        <v>0</v>
      </c>
      <c r="S94" s="111">
        <f>SUM(S95:S99)</f>
        <v>9750000</v>
      </c>
      <c r="T94" s="111">
        <f>SUM(T95:T99)</f>
        <v>9750000</v>
      </c>
      <c r="U94" s="191">
        <f t="shared" si="16"/>
        <v>16.058634604298774</v>
      </c>
      <c r="V94" s="176">
        <f>SUM(V95:V99)</f>
        <v>167950000</v>
      </c>
      <c r="W94" s="191">
        <f t="shared" si="24"/>
        <v>94.51322453573438</v>
      </c>
      <c r="X94" s="105"/>
      <c r="Y94" s="106"/>
      <c r="Z94" s="45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25" customFormat="1" ht="13.5">
      <c r="A95" s="9"/>
      <c r="B95" s="247" t="s">
        <v>237</v>
      </c>
      <c r="C95" s="158" t="s">
        <v>242</v>
      </c>
      <c r="D95" s="5" t="s">
        <v>76</v>
      </c>
      <c r="E95" s="5" t="s">
        <v>140</v>
      </c>
      <c r="F95" s="84" t="s">
        <v>75</v>
      </c>
      <c r="G95" s="9" t="s">
        <v>28</v>
      </c>
      <c r="H95" s="5" t="s">
        <v>5</v>
      </c>
      <c r="I95" s="9"/>
      <c r="J95" s="11">
        <v>30000000</v>
      </c>
      <c r="K95" s="82"/>
      <c r="L95" s="37"/>
      <c r="M95" s="7" t="s">
        <v>221</v>
      </c>
      <c r="N95" s="112">
        <f>2500000+2500000+20000000</f>
        <v>25000000</v>
      </c>
      <c r="O95" s="196">
        <f t="shared" si="23"/>
        <v>83.33333333333334</v>
      </c>
      <c r="P95" s="91" t="s">
        <v>139</v>
      </c>
      <c r="Q95" s="91" t="s">
        <v>309</v>
      </c>
      <c r="R95" s="12"/>
      <c r="S95" s="12">
        <v>0</v>
      </c>
      <c r="T95" s="12">
        <f>R95+S95</f>
        <v>0</v>
      </c>
      <c r="U95" s="191">
        <f t="shared" si="16"/>
        <v>0</v>
      </c>
      <c r="V95" s="181">
        <f>J95-T95</f>
        <v>30000000</v>
      </c>
      <c r="W95" s="191">
        <f t="shared" si="24"/>
        <v>100</v>
      </c>
      <c r="X95" s="7"/>
      <c r="Y95" s="38"/>
      <c r="Z95" s="46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s="25" customFormat="1" ht="13.5">
      <c r="A96" s="9"/>
      <c r="B96" s="247" t="s">
        <v>238</v>
      </c>
      <c r="C96" s="158" t="s">
        <v>243</v>
      </c>
      <c r="D96" s="5" t="s">
        <v>76</v>
      </c>
      <c r="E96" s="5" t="s">
        <v>140</v>
      </c>
      <c r="F96" s="84" t="s">
        <v>75</v>
      </c>
      <c r="G96" s="9" t="s">
        <v>28</v>
      </c>
      <c r="H96" s="5" t="s">
        <v>5</v>
      </c>
      <c r="I96" s="9"/>
      <c r="J96" s="11">
        <v>10500000</v>
      </c>
      <c r="K96" s="82"/>
      <c r="L96" s="37"/>
      <c r="M96" s="7" t="s">
        <v>78</v>
      </c>
      <c r="N96" s="112">
        <f>875000+875000+875000</f>
        <v>2625000</v>
      </c>
      <c r="O96" s="196">
        <f t="shared" si="23"/>
        <v>25</v>
      </c>
      <c r="P96" s="91" t="s">
        <v>139</v>
      </c>
      <c r="Q96" s="91" t="s">
        <v>309</v>
      </c>
      <c r="R96" s="12"/>
      <c r="S96" s="12">
        <v>0</v>
      </c>
      <c r="T96" s="12">
        <f>R96+S96</f>
        <v>0</v>
      </c>
      <c r="U96" s="191">
        <f t="shared" si="16"/>
        <v>0</v>
      </c>
      <c r="V96" s="181">
        <f>J96-T96</f>
        <v>10500000</v>
      </c>
      <c r="W96" s="191">
        <f t="shared" si="24"/>
        <v>100</v>
      </c>
      <c r="X96" s="7"/>
      <c r="Y96" s="38"/>
      <c r="Z96" s="46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s="25" customFormat="1" ht="13.5">
      <c r="A97" s="9"/>
      <c r="B97" s="247" t="s">
        <v>239</v>
      </c>
      <c r="C97" s="158" t="s">
        <v>243</v>
      </c>
      <c r="D97" s="5" t="s">
        <v>76</v>
      </c>
      <c r="E97" s="5" t="s">
        <v>140</v>
      </c>
      <c r="F97" s="84" t="s">
        <v>75</v>
      </c>
      <c r="G97" s="9" t="s">
        <v>28</v>
      </c>
      <c r="H97" s="5" t="s">
        <v>5</v>
      </c>
      <c r="I97" s="9"/>
      <c r="J97" s="11">
        <v>115600000</v>
      </c>
      <c r="K97" s="82"/>
      <c r="L97" s="37"/>
      <c r="M97" s="7" t="s">
        <v>221</v>
      </c>
      <c r="N97" s="112">
        <f>9630000+9630000+9630000</f>
        <v>28890000</v>
      </c>
      <c r="O97" s="196">
        <f t="shared" si="23"/>
        <v>24.991349480968857</v>
      </c>
      <c r="P97" s="91" t="s">
        <v>139</v>
      </c>
      <c r="Q97" s="91" t="s">
        <v>309</v>
      </c>
      <c r="R97" s="12"/>
      <c r="S97" s="12">
        <v>9000000</v>
      </c>
      <c r="T97" s="12">
        <f>R97+S97</f>
        <v>9000000</v>
      </c>
      <c r="U97" s="191">
        <f t="shared" si="16"/>
        <v>31.15264797507788</v>
      </c>
      <c r="V97" s="181">
        <f>J97-T97</f>
        <v>106600000</v>
      </c>
      <c r="W97" s="191">
        <f t="shared" si="24"/>
        <v>92.21453287197232</v>
      </c>
      <c r="X97" s="7"/>
      <c r="Y97" s="38"/>
      <c r="Z97" s="46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s="25" customFormat="1" ht="13.5">
      <c r="A98" s="9"/>
      <c r="B98" s="247" t="s">
        <v>240</v>
      </c>
      <c r="C98" s="158" t="s">
        <v>244</v>
      </c>
      <c r="D98" s="5" t="s">
        <v>76</v>
      </c>
      <c r="E98" s="5" t="s">
        <v>307</v>
      </c>
      <c r="F98" s="84" t="s">
        <v>75</v>
      </c>
      <c r="G98" s="9" t="s">
        <v>28</v>
      </c>
      <c r="H98" s="5" t="s">
        <v>5</v>
      </c>
      <c r="I98" s="9"/>
      <c r="J98" s="11">
        <v>3600000</v>
      </c>
      <c r="K98" s="82"/>
      <c r="L98" s="37"/>
      <c r="M98" s="7" t="s">
        <v>78</v>
      </c>
      <c r="N98" s="112">
        <v>1200000</v>
      </c>
      <c r="O98" s="196">
        <f t="shared" si="23"/>
        <v>33.33333333333333</v>
      </c>
      <c r="P98" s="91" t="s">
        <v>309</v>
      </c>
      <c r="Q98" s="91" t="s">
        <v>309</v>
      </c>
      <c r="R98" s="12"/>
      <c r="S98" s="12">
        <v>0</v>
      </c>
      <c r="T98" s="12">
        <f>R98+S98</f>
        <v>0</v>
      </c>
      <c r="U98" s="191">
        <v>0</v>
      </c>
      <c r="V98" s="181">
        <f>J98-T98</f>
        <v>3600000</v>
      </c>
      <c r="W98" s="191">
        <f t="shared" si="24"/>
        <v>100</v>
      </c>
      <c r="X98" s="7"/>
      <c r="Y98" s="38"/>
      <c r="Z98" s="46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s="25" customFormat="1" ht="13.5">
      <c r="A99" s="9"/>
      <c r="B99" s="247" t="s">
        <v>241</v>
      </c>
      <c r="C99" s="158" t="s">
        <v>245</v>
      </c>
      <c r="D99" s="5" t="s">
        <v>76</v>
      </c>
      <c r="E99" s="5" t="s">
        <v>140</v>
      </c>
      <c r="F99" s="84" t="s">
        <v>75</v>
      </c>
      <c r="G99" s="9" t="s">
        <v>28</v>
      </c>
      <c r="H99" s="5" t="s">
        <v>5</v>
      </c>
      <c r="I99" s="9"/>
      <c r="J99" s="11">
        <v>18000000</v>
      </c>
      <c r="K99" s="82"/>
      <c r="L99" s="37"/>
      <c r="M99" s="7" t="s">
        <v>78</v>
      </c>
      <c r="N99" s="112">
        <f>1500000+1500000</f>
        <v>3000000</v>
      </c>
      <c r="O99" s="196">
        <f t="shared" si="23"/>
        <v>16.666666666666664</v>
      </c>
      <c r="P99" s="91" t="s">
        <v>139</v>
      </c>
      <c r="Q99" s="91" t="s">
        <v>309</v>
      </c>
      <c r="R99" s="12"/>
      <c r="S99" s="12">
        <v>750000</v>
      </c>
      <c r="T99" s="12">
        <f>R99+S99</f>
        <v>750000</v>
      </c>
      <c r="U99" s="191">
        <f t="shared" si="16"/>
        <v>25</v>
      </c>
      <c r="V99" s="181">
        <f>J99-T99</f>
        <v>17250000</v>
      </c>
      <c r="W99" s="191">
        <f t="shared" si="24"/>
        <v>95.83333333333334</v>
      </c>
      <c r="X99" s="7"/>
      <c r="Y99" s="38"/>
      <c r="Z99" s="46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s="26" customFormat="1" ht="13.5">
      <c r="A100" s="10"/>
      <c r="B100" s="28" t="s">
        <v>100</v>
      </c>
      <c r="C100" s="10" t="s">
        <v>128</v>
      </c>
      <c r="D100" s="102" t="s">
        <v>37</v>
      </c>
      <c r="E100" s="102" t="s">
        <v>140</v>
      </c>
      <c r="F100" s="84" t="s">
        <v>75</v>
      </c>
      <c r="G100" s="10" t="s">
        <v>28</v>
      </c>
      <c r="H100" s="102" t="s">
        <v>5</v>
      </c>
      <c r="I100" s="10"/>
      <c r="J100" s="98">
        <f>J101+J102</f>
        <v>126900000</v>
      </c>
      <c r="K100" s="98"/>
      <c r="L100" s="98"/>
      <c r="M100" s="98"/>
      <c r="N100" s="98">
        <f>N101+N102</f>
        <v>31725000</v>
      </c>
      <c r="O100" s="196">
        <f t="shared" si="23"/>
        <v>25</v>
      </c>
      <c r="P100" s="91" t="s">
        <v>139</v>
      </c>
      <c r="Q100" s="91" t="s">
        <v>309</v>
      </c>
      <c r="R100" s="109">
        <f>R101+R102</f>
        <v>0</v>
      </c>
      <c r="S100" s="109">
        <f>S101+S102</f>
        <v>0</v>
      </c>
      <c r="T100" s="109">
        <f>T101+T102</f>
        <v>0</v>
      </c>
      <c r="U100" s="191">
        <f t="shared" si="16"/>
        <v>0</v>
      </c>
      <c r="V100" s="176">
        <f>V101+V102</f>
        <v>126900000</v>
      </c>
      <c r="W100" s="191">
        <f t="shared" si="24"/>
        <v>100</v>
      </c>
      <c r="X100" s="105"/>
      <c r="Y100" s="106"/>
      <c r="Z100" s="45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25" customFormat="1" ht="13.5">
      <c r="A101" s="9"/>
      <c r="B101" s="34" t="s">
        <v>101</v>
      </c>
      <c r="C101" s="9" t="s">
        <v>129</v>
      </c>
      <c r="D101" s="5" t="s">
        <v>37</v>
      </c>
      <c r="E101" s="5" t="s">
        <v>140</v>
      </c>
      <c r="F101" s="84" t="s">
        <v>75</v>
      </c>
      <c r="G101" s="9" t="s">
        <v>28</v>
      </c>
      <c r="H101" s="5" t="s">
        <v>5</v>
      </c>
      <c r="I101" s="9"/>
      <c r="J101" s="11">
        <v>84000000</v>
      </c>
      <c r="K101" s="82"/>
      <c r="L101" s="37"/>
      <c r="M101" s="7" t="s">
        <v>221</v>
      </c>
      <c r="N101" s="112">
        <f>7000000+7000000+7000000</f>
        <v>21000000</v>
      </c>
      <c r="O101" s="196">
        <f t="shared" si="23"/>
        <v>25</v>
      </c>
      <c r="P101" s="91" t="s">
        <v>139</v>
      </c>
      <c r="Q101" s="91" t="s">
        <v>309</v>
      </c>
      <c r="R101" s="12"/>
      <c r="S101" s="12"/>
      <c r="T101" s="12">
        <f>R101+S101</f>
        <v>0</v>
      </c>
      <c r="U101" s="191">
        <f t="shared" si="16"/>
        <v>0</v>
      </c>
      <c r="V101" s="181">
        <f>J101-T101</f>
        <v>84000000</v>
      </c>
      <c r="W101" s="191">
        <f t="shared" si="24"/>
        <v>100</v>
      </c>
      <c r="X101" s="7"/>
      <c r="Y101" s="38"/>
      <c r="Z101" s="46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s="25" customFormat="1" ht="13.5">
      <c r="A102" s="9"/>
      <c r="B102" s="34" t="s">
        <v>152</v>
      </c>
      <c r="C102" s="158">
        <v>125005</v>
      </c>
      <c r="D102" s="5" t="s">
        <v>37</v>
      </c>
      <c r="E102" s="5" t="s">
        <v>140</v>
      </c>
      <c r="F102" s="84" t="s">
        <v>75</v>
      </c>
      <c r="G102" s="9" t="s">
        <v>28</v>
      </c>
      <c r="H102" s="5" t="s">
        <v>5</v>
      </c>
      <c r="I102" s="9"/>
      <c r="J102" s="11">
        <v>42900000</v>
      </c>
      <c r="K102" s="82"/>
      <c r="L102" s="37"/>
      <c r="M102" s="7" t="s">
        <v>221</v>
      </c>
      <c r="N102" s="112">
        <f>3575000+3575000+3575000</f>
        <v>10725000</v>
      </c>
      <c r="O102" s="196">
        <f t="shared" si="23"/>
        <v>25</v>
      </c>
      <c r="P102" s="91" t="s">
        <v>139</v>
      </c>
      <c r="Q102" s="91" t="s">
        <v>309</v>
      </c>
      <c r="R102" s="12"/>
      <c r="S102" s="12"/>
      <c r="T102" s="12">
        <f>R102+S102</f>
        <v>0</v>
      </c>
      <c r="U102" s="191">
        <f t="shared" si="16"/>
        <v>0</v>
      </c>
      <c r="V102" s="181">
        <f>J102-T102</f>
        <v>42900000</v>
      </c>
      <c r="W102" s="191">
        <f t="shared" si="24"/>
        <v>100</v>
      </c>
      <c r="X102" s="7"/>
      <c r="Y102" s="38"/>
      <c r="Z102" s="46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s="26" customFormat="1" ht="12.75" customHeight="1">
      <c r="A103" s="348" t="s">
        <v>20</v>
      </c>
      <c r="B103" s="349" t="s">
        <v>102</v>
      </c>
      <c r="C103" s="350"/>
      <c r="D103" s="350"/>
      <c r="E103" s="350"/>
      <c r="F103" s="350"/>
      <c r="G103" s="350"/>
      <c r="H103" s="350"/>
      <c r="I103" s="350"/>
      <c r="J103" s="351">
        <f>J105+J114+J118+J123+J143</f>
        <v>4198054400</v>
      </c>
      <c r="K103" s="351"/>
      <c r="L103" s="351"/>
      <c r="M103" s="351"/>
      <c r="N103" s="351">
        <f>N105+N114+N118+N123+N143</f>
        <v>1658318900</v>
      </c>
      <c r="O103" s="351">
        <f>N103/J103*100</f>
        <v>39.502082202650826</v>
      </c>
      <c r="P103" s="351"/>
      <c r="Q103" s="351"/>
      <c r="R103" s="351">
        <f>R105+R114+R118+R123+R143</f>
        <v>506250761</v>
      </c>
      <c r="S103" s="351">
        <f>S105+S114+S118+S123+S143</f>
        <v>164162000</v>
      </c>
      <c r="T103" s="351">
        <f>T105+T114+T118+T123+T143</f>
        <v>670412761</v>
      </c>
      <c r="U103" s="351">
        <f>U105+U114+U118+U123+U143</f>
        <v>102.47248177507473</v>
      </c>
      <c r="V103" s="351">
        <f>V105+V114+V118+V123+V143</f>
        <v>3527641639</v>
      </c>
      <c r="W103" s="351">
        <f>V103/J103*100</f>
        <v>84.0303936747461</v>
      </c>
      <c r="X103" s="351"/>
      <c r="Y103" s="106"/>
      <c r="Z103" s="45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26" customFormat="1" ht="12" customHeight="1">
      <c r="A104" s="348"/>
      <c r="B104" s="349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52"/>
      <c r="Z104" s="45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140" customFormat="1" ht="29.25" customHeight="1">
      <c r="A105" s="130">
        <v>1</v>
      </c>
      <c r="B105" s="143" t="s">
        <v>103</v>
      </c>
      <c r="C105" s="130" t="s">
        <v>130</v>
      </c>
      <c r="D105" s="132" t="s">
        <v>37</v>
      </c>
      <c r="E105" s="132" t="s">
        <v>140</v>
      </c>
      <c r="F105" s="213" t="s">
        <v>75</v>
      </c>
      <c r="G105" s="130" t="s">
        <v>28</v>
      </c>
      <c r="H105" s="132" t="s">
        <v>5</v>
      </c>
      <c r="I105" s="130" t="s">
        <v>28</v>
      </c>
      <c r="J105" s="133">
        <f>J109+J106</f>
        <v>174000000</v>
      </c>
      <c r="K105" s="134"/>
      <c r="L105" s="135"/>
      <c r="M105" s="270"/>
      <c r="N105" s="137">
        <f>N106+N109</f>
        <v>95962500</v>
      </c>
      <c r="O105" s="194">
        <f>N105/J105*100</f>
        <v>55.15086206896552</v>
      </c>
      <c r="P105" s="168"/>
      <c r="Q105" s="168"/>
      <c r="R105" s="138">
        <f>R106+R109</f>
        <v>14460561</v>
      </c>
      <c r="S105" s="138">
        <f>S106+S109</f>
        <v>39700000</v>
      </c>
      <c r="T105" s="138">
        <f>T106+T109</f>
        <v>54160561</v>
      </c>
      <c r="U105" s="214">
        <f>T105/N105*100</f>
        <v>56.4392976423082</v>
      </c>
      <c r="V105" s="139">
        <f>V106+V109</f>
        <v>119839439</v>
      </c>
      <c r="W105" s="301">
        <f>V105/J105*100</f>
        <v>68.8732408045977</v>
      </c>
      <c r="X105" s="139"/>
      <c r="Y105" s="41"/>
      <c r="Z105" s="45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126" customFormat="1" ht="15" customHeight="1">
      <c r="A106" s="147"/>
      <c r="B106" s="129" t="s">
        <v>83</v>
      </c>
      <c r="C106" s="161"/>
      <c r="D106" s="120"/>
      <c r="E106" s="120"/>
      <c r="F106" s="120"/>
      <c r="G106" s="118"/>
      <c r="H106" s="120"/>
      <c r="I106" s="147"/>
      <c r="J106" s="162">
        <f>J107</f>
        <v>4050000</v>
      </c>
      <c r="K106" s="147"/>
      <c r="L106" s="147"/>
      <c r="M106" s="147"/>
      <c r="N106" s="148">
        <f>N107</f>
        <v>1012500</v>
      </c>
      <c r="O106" s="198">
        <f aca="true" t="shared" si="25" ref="O106:O122">N106/J106*100</f>
        <v>25</v>
      </c>
      <c r="P106" s="147"/>
      <c r="Q106" s="147"/>
      <c r="R106" s="183">
        <f aca="true" t="shared" si="26" ref="R106:T107">R107</f>
        <v>0</v>
      </c>
      <c r="S106" s="148">
        <f t="shared" si="26"/>
        <v>0</v>
      </c>
      <c r="T106" s="148">
        <f>T107</f>
        <v>0</v>
      </c>
      <c r="U106" s="215">
        <f aca="true" t="shared" si="27" ref="U106:U121">T106/N106*100</f>
        <v>0</v>
      </c>
      <c r="V106" s="125">
        <f>V107</f>
        <v>4050000</v>
      </c>
      <c r="W106" s="189">
        <f aca="true" t="shared" si="28" ref="W106:W112">V106/J106*100</f>
        <v>100</v>
      </c>
      <c r="X106" s="147"/>
      <c r="Y106" s="41"/>
      <c r="Z106" s="45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26" s="43" customFormat="1" ht="15" customHeight="1">
      <c r="A107" s="29"/>
      <c r="B107" s="96" t="s">
        <v>149</v>
      </c>
      <c r="C107" s="163">
        <v>1001</v>
      </c>
      <c r="D107" s="107" t="s">
        <v>76</v>
      </c>
      <c r="E107" s="107" t="s">
        <v>140</v>
      </c>
      <c r="F107" s="84" t="s">
        <v>75</v>
      </c>
      <c r="G107" s="108" t="s">
        <v>28</v>
      </c>
      <c r="H107" s="107" t="s">
        <v>5</v>
      </c>
      <c r="I107" s="29"/>
      <c r="J107" s="160">
        <f>J108</f>
        <v>4050000</v>
      </c>
      <c r="K107" s="29"/>
      <c r="L107" s="29"/>
      <c r="M107" s="29"/>
      <c r="N107" s="90">
        <f>N108</f>
        <v>1012500</v>
      </c>
      <c r="O107" s="199">
        <f>N107/J107*100</f>
        <v>25</v>
      </c>
      <c r="P107" s="91" t="s">
        <v>139</v>
      </c>
      <c r="Q107" s="91" t="s">
        <v>309</v>
      </c>
      <c r="R107" s="184">
        <f t="shared" si="26"/>
        <v>0</v>
      </c>
      <c r="S107" s="90">
        <f t="shared" si="26"/>
        <v>0</v>
      </c>
      <c r="T107" s="90">
        <f t="shared" si="26"/>
        <v>0</v>
      </c>
      <c r="U107" s="205">
        <f t="shared" si="27"/>
        <v>0</v>
      </c>
      <c r="V107" s="86">
        <f>V108</f>
        <v>4050000</v>
      </c>
      <c r="W107" s="189">
        <f t="shared" si="28"/>
        <v>100</v>
      </c>
      <c r="X107" s="29"/>
      <c r="Y107" s="41"/>
      <c r="Z107" s="45"/>
    </row>
    <row r="108" spans="1:26" s="44" customFormat="1" ht="12.75" customHeight="1">
      <c r="A108" s="27"/>
      <c r="B108" s="6" t="s">
        <v>148</v>
      </c>
      <c r="C108" s="35" t="s">
        <v>147</v>
      </c>
      <c r="D108" s="84" t="s">
        <v>76</v>
      </c>
      <c r="E108" s="84" t="s">
        <v>140</v>
      </c>
      <c r="F108" s="84" t="s">
        <v>75</v>
      </c>
      <c r="G108" s="87" t="s">
        <v>28</v>
      </c>
      <c r="H108" s="84" t="s">
        <v>5</v>
      </c>
      <c r="I108" s="27"/>
      <c r="J108" s="164">
        <v>4050000</v>
      </c>
      <c r="K108" s="27"/>
      <c r="L108" s="27"/>
      <c r="M108" s="27" t="s">
        <v>78</v>
      </c>
      <c r="N108" s="149">
        <f>337500+337500+337500</f>
        <v>1012500</v>
      </c>
      <c r="O108" s="200">
        <f t="shared" si="25"/>
        <v>25</v>
      </c>
      <c r="P108" s="91" t="s">
        <v>139</v>
      </c>
      <c r="Q108" s="91" t="s">
        <v>309</v>
      </c>
      <c r="R108" s="182"/>
      <c r="S108" s="149"/>
      <c r="T108" s="149">
        <f>R108+S108</f>
        <v>0</v>
      </c>
      <c r="U108" s="205"/>
      <c r="V108" s="8">
        <f>J108-T108</f>
        <v>4050000</v>
      </c>
      <c r="W108" s="189">
        <f t="shared" si="28"/>
        <v>100</v>
      </c>
      <c r="X108" s="27"/>
      <c r="Y108" s="165"/>
      <c r="Z108" s="46"/>
    </row>
    <row r="109" spans="1:35" s="126" customFormat="1" ht="13.5" customHeight="1">
      <c r="A109" s="118"/>
      <c r="B109" s="119" t="s">
        <v>79</v>
      </c>
      <c r="C109" s="118"/>
      <c r="D109" s="118"/>
      <c r="E109" s="120"/>
      <c r="F109" s="120"/>
      <c r="G109" s="120"/>
      <c r="H109" s="120"/>
      <c r="I109" s="120"/>
      <c r="J109" s="121">
        <f>J110+J112</f>
        <v>169950000</v>
      </c>
      <c r="K109" s="120"/>
      <c r="L109" s="120"/>
      <c r="M109" s="120"/>
      <c r="N109" s="123">
        <f>N110+N112</f>
        <v>94950000</v>
      </c>
      <c r="O109" s="128">
        <f t="shared" si="25"/>
        <v>55.8693733451015</v>
      </c>
      <c r="P109" s="125"/>
      <c r="Q109" s="125"/>
      <c r="R109" s="124">
        <f>R110+R112</f>
        <v>14460561</v>
      </c>
      <c r="S109" s="124">
        <f>S110+S112</f>
        <v>39700000</v>
      </c>
      <c r="T109" s="124">
        <f>T110+T112</f>
        <v>54160561</v>
      </c>
      <c r="U109" s="215">
        <f t="shared" si="27"/>
        <v>57.041138493944175</v>
      </c>
      <c r="V109" s="125">
        <f>V110+V112</f>
        <v>115789439</v>
      </c>
      <c r="W109" s="189">
        <f t="shared" si="28"/>
        <v>68.13147337452192</v>
      </c>
      <c r="X109" s="125"/>
      <c r="Y109" s="106"/>
      <c r="Z109" s="45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s="26" customFormat="1" ht="13.5">
      <c r="A110" s="10"/>
      <c r="B110" s="95" t="s">
        <v>80</v>
      </c>
      <c r="C110" s="10" t="s">
        <v>114</v>
      </c>
      <c r="D110" s="102" t="s">
        <v>37</v>
      </c>
      <c r="E110" s="102" t="s">
        <v>140</v>
      </c>
      <c r="F110" s="84" t="s">
        <v>75</v>
      </c>
      <c r="G110" s="10" t="s">
        <v>28</v>
      </c>
      <c r="H110" s="102" t="s">
        <v>5</v>
      </c>
      <c r="I110" s="10" t="s">
        <v>28</v>
      </c>
      <c r="J110" s="98">
        <f>J111</f>
        <v>112500000</v>
      </c>
      <c r="K110" s="103"/>
      <c r="L110" s="104"/>
      <c r="M110" s="105"/>
      <c r="N110" s="110">
        <f>N111</f>
        <v>37500000</v>
      </c>
      <c r="O110" s="195">
        <f t="shared" si="25"/>
        <v>33.33333333333333</v>
      </c>
      <c r="P110" s="91" t="s">
        <v>139</v>
      </c>
      <c r="Q110" s="91" t="s">
        <v>309</v>
      </c>
      <c r="R110" s="89">
        <f>R111</f>
        <v>7950000</v>
      </c>
      <c r="S110" s="89">
        <f>S111</f>
        <v>15000000</v>
      </c>
      <c r="T110" s="89">
        <f>T111</f>
        <v>22950000</v>
      </c>
      <c r="U110" s="205">
        <f t="shared" si="27"/>
        <v>61.199999999999996</v>
      </c>
      <c r="V110" s="86">
        <f>V111</f>
        <v>89550000</v>
      </c>
      <c r="W110" s="189">
        <f t="shared" si="28"/>
        <v>79.60000000000001</v>
      </c>
      <c r="X110" s="105"/>
      <c r="Y110" s="106"/>
      <c r="Z110" s="45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s="25" customFormat="1" ht="13.5">
      <c r="A111" s="9"/>
      <c r="B111" s="74" t="s">
        <v>104</v>
      </c>
      <c r="C111" s="9" t="s">
        <v>131</v>
      </c>
      <c r="D111" s="5" t="s">
        <v>37</v>
      </c>
      <c r="E111" s="5" t="s">
        <v>140</v>
      </c>
      <c r="F111" s="84" t="s">
        <v>75</v>
      </c>
      <c r="G111" s="9" t="s">
        <v>28</v>
      </c>
      <c r="H111" s="5" t="s">
        <v>5</v>
      </c>
      <c r="I111" s="9"/>
      <c r="J111" s="11">
        <v>112500000</v>
      </c>
      <c r="K111" s="36"/>
      <c r="L111" s="37"/>
      <c r="M111" s="7" t="s">
        <v>78</v>
      </c>
      <c r="N111" s="112">
        <f>10000000+10000000+17500000</f>
        <v>37500000</v>
      </c>
      <c r="O111" s="196">
        <f t="shared" si="25"/>
        <v>33.33333333333333</v>
      </c>
      <c r="P111" s="91" t="s">
        <v>139</v>
      </c>
      <c r="Q111" s="91" t="s">
        <v>309</v>
      </c>
      <c r="R111" s="88">
        <v>7950000</v>
      </c>
      <c r="S111" s="88">
        <v>15000000</v>
      </c>
      <c r="T111" s="88">
        <f>R111+S111</f>
        <v>22950000</v>
      </c>
      <c r="U111" s="205"/>
      <c r="V111" s="8">
        <f>J111-T111</f>
        <v>89550000</v>
      </c>
      <c r="W111" s="189">
        <f t="shared" si="28"/>
        <v>79.60000000000001</v>
      </c>
      <c r="X111" s="7"/>
      <c r="Y111" s="38"/>
      <c r="Z111" s="46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s="26" customFormat="1" ht="13.5">
      <c r="A112" s="10"/>
      <c r="B112" s="95" t="s">
        <v>105</v>
      </c>
      <c r="C112" s="10" t="s">
        <v>132</v>
      </c>
      <c r="D112" s="102" t="s">
        <v>37</v>
      </c>
      <c r="E112" s="102" t="s">
        <v>310</v>
      </c>
      <c r="F112" s="84" t="s">
        <v>75</v>
      </c>
      <c r="G112" s="10" t="s">
        <v>28</v>
      </c>
      <c r="H112" s="102" t="s">
        <v>5</v>
      </c>
      <c r="I112" s="10"/>
      <c r="J112" s="98">
        <f>J113</f>
        <v>57450000</v>
      </c>
      <c r="K112" s="103"/>
      <c r="L112" s="104"/>
      <c r="M112" s="105"/>
      <c r="N112" s="110">
        <f>N113</f>
        <v>57450000</v>
      </c>
      <c r="O112" s="195">
        <f t="shared" si="25"/>
        <v>100</v>
      </c>
      <c r="P112" s="91" t="s">
        <v>139</v>
      </c>
      <c r="Q112" s="91" t="s">
        <v>309</v>
      </c>
      <c r="R112" s="89">
        <f>R113</f>
        <v>6510561</v>
      </c>
      <c r="S112" s="89">
        <f>S113</f>
        <v>24700000</v>
      </c>
      <c r="T112" s="89">
        <f>T113</f>
        <v>31210561</v>
      </c>
      <c r="U112" s="205">
        <f t="shared" si="27"/>
        <v>54.32647693646649</v>
      </c>
      <c r="V112" s="86">
        <f>V113</f>
        <v>26239439</v>
      </c>
      <c r="W112" s="189">
        <f t="shared" si="28"/>
        <v>45.67352306353351</v>
      </c>
      <c r="X112" s="105"/>
      <c r="Y112" s="106"/>
      <c r="Z112" s="45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s="25" customFormat="1" ht="13.5">
      <c r="A113" s="9"/>
      <c r="B113" s="74" t="s">
        <v>246</v>
      </c>
      <c r="C113" s="9" t="s">
        <v>138</v>
      </c>
      <c r="D113" s="5" t="s">
        <v>37</v>
      </c>
      <c r="E113" s="5" t="s">
        <v>310</v>
      </c>
      <c r="F113" s="84" t="s">
        <v>75</v>
      </c>
      <c r="G113" s="9" t="s">
        <v>28</v>
      </c>
      <c r="H113" s="5" t="s">
        <v>5</v>
      </c>
      <c r="I113" s="9"/>
      <c r="J113" s="11">
        <v>57450000</v>
      </c>
      <c r="K113" s="36"/>
      <c r="L113" s="37"/>
      <c r="M113" s="7" t="s">
        <v>78</v>
      </c>
      <c r="N113" s="112">
        <f>8000000+8000000+41450000</f>
        <v>57450000</v>
      </c>
      <c r="O113" s="196">
        <f t="shared" si="25"/>
        <v>100</v>
      </c>
      <c r="P113" s="91" t="s">
        <v>139</v>
      </c>
      <c r="Q113" s="91" t="s">
        <v>309</v>
      </c>
      <c r="R113" s="88">
        <v>6510561</v>
      </c>
      <c r="S113" s="88">
        <v>24700000</v>
      </c>
      <c r="T113" s="88">
        <f>R113+S113</f>
        <v>31210561</v>
      </c>
      <c r="U113" s="205"/>
      <c r="V113" s="8">
        <f>J113-T113</f>
        <v>26239439</v>
      </c>
      <c r="W113" s="189">
        <f>V113/J113*100</f>
        <v>45.67352306353351</v>
      </c>
      <c r="X113" s="7"/>
      <c r="Y113" s="38"/>
      <c r="Z113" s="46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s="140" customFormat="1" ht="27">
      <c r="A114" s="130">
        <v>2</v>
      </c>
      <c r="B114" s="143" t="s">
        <v>247</v>
      </c>
      <c r="C114" s="130" t="s">
        <v>77</v>
      </c>
      <c r="D114" s="132"/>
      <c r="E114" s="132"/>
      <c r="F114" s="132"/>
      <c r="G114" s="130"/>
      <c r="H114" s="132"/>
      <c r="I114" s="130"/>
      <c r="J114" s="133">
        <f>J115</f>
        <v>299750000</v>
      </c>
      <c r="K114" s="134"/>
      <c r="L114" s="135"/>
      <c r="M114" s="136"/>
      <c r="N114" s="137">
        <f>N115</f>
        <v>74937000</v>
      </c>
      <c r="O114" s="194">
        <f>N114/J114*100</f>
        <v>24.99983319432861</v>
      </c>
      <c r="P114" s="168"/>
      <c r="Q114" s="168"/>
      <c r="R114" s="138">
        <f>R115</f>
        <v>5500000</v>
      </c>
      <c r="S114" s="138">
        <f>S115</f>
        <v>5500000</v>
      </c>
      <c r="T114" s="138">
        <f>T115</f>
        <v>11000000</v>
      </c>
      <c r="U114" s="202">
        <f>T114/N114*100</f>
        <v>14.678997024166968</v>
      </c>
      <c r="V114" s="139">
        <f>V115</f>
        <v>288750000</v>
      </c>
      <c r="W114" s="187">
        <f>T114/J114*100</f>
        <v>3.669724770642202</v>
      </c>
      <c r="X114" s="139"/>
      <c r="Y114" s="106"/>
      <c r="Z114" s="45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s="126" customFormat="1" ht="13.5">
      <c r="A115" s="118"/>
      <c r="B115" s="129" t="s">
        <v>79</v>
      </c>
      <c r="C115" s="118"/>
      <c r="D115" s="120"/>
      <c r="E115" s="120"/>
      <c r="F115" s="120"/>
      <c r="G115" s="118"/>
      <c r="H115" s="120"/>
      <c r="I115" s="118"/>
      <c r="J115" s="121">
        <f>J116</f>
        <v>299750000</v>
      </c>
      <c r="K115" s="121"/>
      <c r="L115" s="121"/>
      <c r="M115" s="121"/>
      <c r="N115" s="121">
        <f aca="true" t="shared" si="29" ref="N115:W115">N116</f>
        <v>74937000</v>
      </c>
      <c r="O115" s="128">
        <f t="shared" si="25"/>
        <v>24.99983319432861</v>
      </c>
      <c r="P115" s="121"/>
      <c r="Q115" s="121"/>
      <c r="R115" s="123">
        <f t="shared" si="29"/>
        <v>5500000</v>
      </c>
      <c r="S115" s="123">
        <f t="shared" si="29"/>
        <v>5500000</v>
      </c>
      <c r="T115" s="123">
        <f t="shared" si="29"/>
        <v>11000000</v>
      </c>
      <c r="U115" s="121">
        <f>U116</f>
        <v>14.678997024166968</v>
      </c>
      <c r="V115" s="121">
        <f t="shared" si="29"/>
        <v>288750000</v>
      </c>
      <c r="W115" s="121">
        <f t="shared" si="29"/>
        <v>96.3302752293578</v>
      </c>
      <c r="X115" s="121"/>
      <c r="Y115" s="106"/>
      <c r="Z115" s="45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s="26" customFormat="1" ht="13.5">
      <c r="A116" s="10"/>
      <c r="B116" s="96" t="s">
        <v>93</v>
      </c>
      <c r="C116" s="10" t="s">
        <v>119</v>
      </c>
      <c r="D116" s="102" t="s">
        <v>37</v>
      </c>
      <c r="E116" s="102" t="s">
        <v>140</v>
      </c>
      <c r="F116" s="102" t="s">
        <v>75</v>
      </c>
      <c r="G116" s="10" t="s">
        <v>28</v>
      </c>
      <c r="H116" s="102" t="s">
        <v>5</v>
      </c>
      <c r="I116" s="10"/>
      <c r="J116" s="98">
        <f>J117</f>
        <v>299750000</v>
      </c>
      <c r="K116" s="103"/>
      <c r="L116" s="104"/>
      <c r="M116" s="105" t="s">
        <v>78</v>
      </c>
      <c r="N116" s="110">
        <f>N117</f>
        <v>74937000</v>
      </c>
      <c r="O116" s="195">
        <f t="shared" si="25"/>
        <v>24.99983319432861</v>
      </c>
      <c r="P116" s="170" t="s">
        <v>139</v>
      </c>
      <c r="Q116" s="170" t="s">
        <v>309</v>
      </c>
      <c r="R116" s="89">
        <f>R117</f>
        <v>5500000</v>
      </c>
      <c r="S116" s="89">
        <f>S117</f>
        <v>5500000</v>
      </c>
      <c r="T116" s="89">
        <f>T117</f>
        <v>11000000</v>
      </c>
      <c r="U116" s="204">
        <f>T116/N116*100</f>
        <v>14.678997024166968</v>
      </c>
      <c r="V116" s="86">
        <f>V117</f>
        <v>288750000</v>
      </c>
      <c r="W116" s="189">
        <f>V116/J116*100</f>
        <v>96.3302752293578</v>
      </c>
      <c r="X116" s="105"/>
      <c r="Y116" s="106"/>
      <c r="Z116" s="45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s="25" customFormat="1" ht="13.5">
      <c r="A117" s="9"/>
      <c r="B117" s="97" t="s">
        <v>202</v>
      </c>
      <c r="C117" s="9" t="s">
        <v>120</v>
      </c>
      <c r="D117" s="5" t="s">
        <v>37</v>
      </c>
      <c r="E117" s="5" t="s">
        <v>140</v>
      </c>
      <c r="F117" s="5" t="s">
        <v>75</v>
      </c>
      <c r="G117" s="9" t="s">
        <v>28</v>
      </c>
      <c r="H117" s="5" t="s">
        <v>5</v>
      </c>
      <c r="I117" s="9"/>
      <c r="J117" s="11">
        <v>299750000</v>
      </c>
      <c r="K117" s="36"/>
      <c r="L117" s="37"/>
      <c r="M117" s="7" t="s">
        <v>78</v>
      </c>
      <c r="N117" s="112">
        <f>24979000+24979000+24979000</f>
        <v>74937000</v>
      </c>
      <c r="O117" s="196">
        <f t="shared" si="25"/>
        <v>24.99983319432861</v>
      </c>
      <c r="P117" s="91" t="s">
        <v>139</v>
      </c>
      <c r="Q117" s="91" t="s">
        <v>309</v>
      </c>
      <c r="R117" s="88">
        <f>1650000+3850000</f>
        <v>5500000</v>
      </c>
      <c r="S117" s="88">
        <v>5500000</v>
      </c>
      <c r="T117" s="88">
        <f>R117+S117</f>
        <v>11000000</v>
      </c>
      <c r="U117" s="205">
        <f t="shared" si="27"/>
        <v>14.678997024166968</v>
      </c>
      <c r="V117" s="8">
        <f>J117-T117</f>
        <v>288750000</v>
      </c>
      <c r="W117" s="189">
        <f>V117/J117*100</f>
        <v>96.3302752293578</v>
      </c>
      <c r="X117" s="7"/>
      <c r="Y117" s="38"/>
      <c r="Z117" s="46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s="26" customFormat="1" ht="27">
      <c r="A118" s="130">
        <v>3</v>
      </c>
      <c r="B118" s="143" t="s">
        <v>248</v>
      </c>
      <c r="C118" s="130"/>
      <c r="D118" s="132"/>
      <c r="E118" s="132"/>
      <c r="F118" s="132"/>
      <c r="G118" s="130"/>
      <c r="H118" s="132"/>
      <c r="I118" s="130"/>
      <c r="J118" s="133">
        <f>J119</f>
        <v>2131739000</v>
      </c>
      <c r="K118" s="134"/>
      <c r="L118" s="135"/>
      <c r="M118" s="139"/>
      <c r="N118" s="137">
        <f>N119</f>
        <v>450000000</v>
      </c>
      <c r="O118" s="194"/>
      <c r="P118" s="168"/>
      <c r="Q118" s="168"/>
      <c r="R118" s="138">
        <f>R119</f>
        <v>190170800</v>
      </c>
      <c r="S118" s="138">
        <f>S119</f>
        <v>67712000</v>
      </c>
      <c r="T118" s="138">
        <f>T119</f>
        <v>257882800</v>
      </c>
      <c r="U118" s="202"/>
      <c r="V118" s="139">
        <f>V119</f>
        <v>1873856200</v>
      </c>
      <c r="W118" s="187"/>
      <c r="X118" s="139"/>
      <c r="Y118" s="106"/>
      <c r="Z118" s="45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s="26" customFormat="1" ht="13.5">
      <c r="A119" s="118"/>
      <c r="B119" s="129" t="s">
        <v>79</v>
      </c>
      <c r="C119" s="118"/>
      <c r="D119" s="120"/>
      <c r="E119" s="120"/>
      <c r="F119" s="120"/>
      <c r="G119" s="118"/>
      <c r="H119" s="120"/>
      <c r="I119" s="118"/>
      <c r="J119" s="121">
        <f>J120</f>
        <v>2131739000</v>
      </c>
      <c r="K119" s="121"/>
      <c r="L119" s="121"/>
      <c r="M119" s="121"/>
      <c r="N119" s="121">
        <f aca="true" t="shared" si="30" ref="N119:W119">N120</f>
        <v>450000000</v>
      </c>
      <c r="O119" s="121">
        <f t="shared" si="30"/>
        <v>21.109526072375655</v>
      </c>
      <c r="P119" s="121"/>
      <c r="Q119" s="121"/>
      <c r="R119" s="123">
        <f t="shared" si="30"/>
        <v>190170800</v>
      </c>
      <c r="S119" s="123">
        <f t="shared" si="30"/>
        <v>67712000</v>
      </c>
      <c r="T119" s="123">
        <f t="shared" si="30"/>
        <v>257882800</v>
      </c>
      <c r="U119" s="121">
        <f t="shared" si="30"/>
        <v>57.307288888888884</v>
      </c>
      <c r="V119" s="121">
        <f t="shared" si="30"/>
        <v>1873856200</v>
      </c>
      <c r="W119" s="121">
        <f t="shared" si="30"/>
        <v>87.90270291062836</v>
      </c>
      <c r="X119" s="121"/>
      <c r="Y119" s="106"/>
      <c r="Z119" s="45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5" customFormat="1" ht="13.5">
      <c r="A120" s="10"/>
      <c r="B120" s="96" t="s">
        <v>93</v>
      </c>
      <c r="C120" s="10" t="s">
        <v>119</v>
      </c>
      <c r="D120" s="102" t="s">
        <v>37</v>
      </c>
      <c r="E120" s="102" t="s">
        <v>140</v>
      </c>
      <c r="F120" s="102" t="s">
        <v>75</v>
      </c>
      <c r="G120" s="10" t="s">
        <v>28</v>
      </c>
      <c r="H120" s="102" t="s">
        <v>5</v>
      </c>
      <c r="I120" s="10"/>
      <c r="J120" s="98">
        <f>J121+J122</f>
        <v>2131739000</v>
      </c>
      <c r="K120" s="103"/>
      <c r="L120" s="104"/>
      <c r="M120" s="105"/>
      <c r="N120" s="110">
        <f>N121</f>
        <v>450000000</v>
      </c>
      <c r="O120" s="195">
        <f t="shared" si="25"/>
        <v>21.109526072375655</v>
      </c>
      <c r="P120" s="170" t="s">
        <v>139</v>
      </c>
      <c r="Q120" s="170" t="s">
        <v>309</v>
      </c>
      <c r="R120" s="89">
        <f>R121</f>
        <v>190170800</v>
      </c>
      <c r="S120" s="89">
        <f>S121</f>
        <v>67712000</v>
      </c>
      <c r="T120" s="89">
        <f>T121</f>
        <v>257882800</v>
      </c>
      <c r="U120" s="204">
        <f t="shared" si="27"/>
        <v>57.307288888888884</v>
      </c>
      <c r="V120" s="86">
        <f>V121+V122</f>
        <v>1873856200</v>
      </c>
      <c r="W120" s="189">
        <f aca="true" t="shared" si="31" ref="W120:W142">V120/J120*100</f>
        <v>87.90270291062836</v>
      </c>
      <c r="X120" s="105"/>
      <c r="Y120" s="38"/>
      <c r="Z120" s="46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s="25" customFormat="1" ht="13.5">
      <c r="A121" s="9"/>
      <c r="B121" s="247" t="s">
        <v>203</v>
      </c>
      <c r="C121" s="9" t="s">
        <v>121</v>
      </c>
      <c r="D121" s="5" t="s">
        <v>37</v>
      </c>
      <c r="E121" s="5" t="s">
        <v>140</v>
      </c>
      <c r="F121" s="5" t="s">
        <v>75</v>
      </c>
      <c r="G121" s="9" t="s">
        <v>28</v>
      </c>
      <c r="H121" s="5" t="s">
        <v>5</v>
      </c>
      <c r="I121" s="9"/>
      <c r="J121" s="11">
        <v>1711121000</v>
      </c>
      <c r="K121" s="36"/>
      <c r="L121" s="37"/>
      <c r="M121" s="7" t="s">
        <v>78</v>
      </c>
      <c r="N121" s="112">
        <f>150000000+150000000+150000000</f>
        <v>450000000</v>
      </c>
      <c r="O121" s="196">
        <f>N121/J121*100</f>
        <v>26.29854931357864</v>
      </c>
      <c r="P121" s="91" t="s">
        <v>139</v>
      </c>
      <c r="Q121" s="91" t="s">
        <v>309</v>
      </c>
      <c r="R121" s="88">
        <f>55515000+54583200+80072600</f>
        <v>190170800</v>
      </c>
      <c r="S121" s="88">
        <v>67712000</v>
      </c>
      <c r="T121" s="88">
        <f>R121+S121</f>
        <v>257882800</v>
      </c>
      <c r="U121" s="205">
        <f t="shared" si="27"/>
        <v>57.307288888888884</v>
      </c>
      <c r="V121" s="8">
        <f>J121-T121</f>
        <v>1453238200</v>
      </c>
      <c r="W121" s="189">
        <f t="shared" si="31"/>
        <v>84.92901437128059</v>
      </c>
      <c r="X121" s="7"/>
      <c r="Y121" s="38"/>
      <c r="Z121" s="46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s="25" customFormat="1" ht="13.5">
      <c r="A122" s="9"/>
      <c r="B122" s="247" t="s">
        <v>249</v>
      </c>
      <c r="C122" s="9" t="s">
        <v>250</v>
      </c>
      <c r="D122" s="5" t="s">
        <v>37</v>
      </c>
      <c r="E122" s="5" t="s">
        <v>308</v>
      </c>
      <c r="F122" s="5" t="s">
        <v>75</v>
      </c>
      <c r="G122" s="9" t="s">
        <v>28</v>
      </c>
      <c r="H122" s="5" t="s">
        <v>5</v>
      </c>
      <c r="I122" s="9"/>
      <c r="J122" s="11">
        <v>420618000</v>
      </c>
      <c r="K122" s="36"/>
      <c r="L122" s="37"/>
      <c r="M122" s="7" t="s">
        <v>78</v>
      </c>
      <c r="N122" s="112">
        <v>210309000</v>
      </c>
      <c r="O122" s="196">
        <f t="shared" si="25"/>
        <v>50</v>
      </c>
      <c r="P122" s="91" t="s">
        <v>309</v>
      </c>
      <c r="Q122" s="91" t="s">
        <v>309</v>
      </c>
      <c r="R122" s="88"/>
      <c r="S122" s="88"/>
      <c r="T122" s="88"/>
      <c r="U122" s="205">
        <v>0</v>
      </c>
      <c r="V122" s="8">
        <f>J122-T122</f>
        <v>420618000</v>
      </c>
      <c r="W122" s="189">
        <f t="shared" si="31"/>
        <v>100</v>
      </c>
      <c r="X122" s="7"/>
      <c r="Y122" s="38"/>
      <c r="Z122" s="46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s="126" customFormat="1" ht="27">
      <c r="A123" s="132">
        <v>4</v>
      </c>
      <c r="B123" s="131" t="s">
        <v>251</v>
      </c>
      <c r="C123" s="130" t="s">
        <v>130</v>
      </c>
      <c r="D123" s="132"/>
      <c r="E123" s="132"/>
      <c r="F123" s="213"/>
      <c r="G123" s="130"/>
      <c r="H123" s="132"/>
      <c r="I123" s="132"/>
      <c r="J123" s="136">
        <f>J124+J140</f>
        <v>1454033600</v>
      </c>
      <c r="K123" s="136"/>
      <c r="L123" s="136"/>
      <c r="M123" s="136"/>
      <c r="N123" s="136">
        <f>N124+N140</f>
        <v>898887600</v>
      </c>
      <c r="O123" s="136">
        <f>N123/J123*100</f>
        <v>61.82027705549583</v>
      </c>
      <c r="P123" s="136"/>
      <c r="Q123" s="136"/>
      <c r="R123" s="138">
        <f>R124+R140</f>
        <v>230588900</v>
      </c>
      <c r="S123" s="138">
        <f>S124+S140</f>
        <v>51250000</v>
      </c>
      <c r="T123" s="138">
        <f>T124+T140</f>
        <v>281838900</v>
      </c>
      <c r="U123" s="136">
        <f>T123/N123*100</f>
        <v>31.35418710859956</v>
      </c>
      <c r="V123" s="136">
        <f>V124+V140</f>
        <v>1172194700</v>
      </c>
      <c r="W123" s="136">
        <f t="shared" si="31"/>
        <v>80.6167546609652</v>
      </c>
      <c r="X123" s="136"/>
      <c r="Y123" s="51"/>
      <c r="Z123" s="45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s="26" customFormat="1" ht="13.5">
      <c r="A124" s="120"/>
      <c r="B124" s="141" t="s">
        <v>79</v>
      </c>
      <c r="C124" s="118"/>
      <c r="D124" s="120"/>
      <c r="E124" s="120"/>
      <c r="F124" s="216"/>
      <c r="G124" s="118"/>
      <c r="H124" s="120"/>
      <c r="I124" s="120"/>
      <c r="J124" s="122">
        <f>J125+J129+J131+J133+J135+J137</f>
        <v>1424933600</v>
      </c>
      <c r="K124" s="122"/>
      <c r="L124" s="122"/>
      <c r="M124" s="122"/>
      <c r="N124" s="122">
        <f>N125+N129+N131+N133+N135+N137</f>
        <v>869787600</v>
      </c>
      <c r="O124" s="122">
        <f>N124/J124*100</f>
        <v>61.040570592201625</v>
      </c>
      <c r="P124" s="122"/>
      <c r="Q124" s="122"/>
      <c r="R124" s="124">
        <f>R125+R129+R131+R133+R135+R137</f>
        <v>230588900</v>
      </c>
      <c r="S124" s="124">
        <f>S125+S129+S131+S133+S135+S137</f>
        <v>51250000</v>
      </c>
      <c r="T124" s="124">
        <f>T125+T129+T131+T133+T135+T137</f>
        <v>281838900</v>
      </c>
      <c r="U124" s="122">
        <f>T124/N124*100</f>
        <v>32.40318670903103</v>
      </c>
      <c r="V124" s="122">
        <f>V125+V129+V131+V133+V135+V137</f>
        <v>1143094700</v>
      </c>
      <c r="W124" s="122">
        <f t="shared" si="31"/>
        <v>80.22090994275102</v>
      </c>
      <c r="X124" s="122"/>
      <c r="Y124" s="51"/>
      <c r="Z124" s="45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s="26" customFormat="1" ht="13.5">
      <c r="A125" s="107"/>
      <c r="B125" s="242" t="s">
        <v>252</v>
      </c>
      <c r="C125" s="108" t="s">
        <v>112</v>
      </c>
      <c r="D125" s="107" t="s">
        <v>76</v>
      </c>
      <c r="E125" s="107" t="s">
        <v>306</v>
      </c>
      <c r="F125" s="107" t="s">
        <v>75</v>
      </c>
      <c r="G125" s="10" t="s">
        <v>28</v>
      </c>
      <c r="H125" s="102" t="s">
        <v>5</v>
      </c>
      <c r="I125" s="107"/>
      <c r="J125" s="85">
        <f>SUM(J126:J128)</f>
        <v>202230200</v>
      </c>
      <c r="K125" s="85"/>
      <c r="L125" s="85"/>
      <c r="M125" s="85"/>
      <c r="N125" s="85">
        <f aca="true" t="shared" si="32" ref="N125:V125">SUM(N126:N128)</f>
        <v>171028200</v>
      </c>
      <c r="O125" s="85">
        <f>N125/J125*100</f>
        <v>84.57104824106389</v>
      </c>
      <c r="P125" s="170" t="s">
        <v>139</v>
      </c>
      <c r="Q125" s="170" t="s">
        <v>309</v>
      </c>
      <c r="R125" s="89">
        <f t="shared" si="32"/>
        <v>85680000</v>
      </c>
      <c r="S125" s="89">
        <f t="shared" si="32"/>
        <v>0</v>
      </c>
      <c r="T125" s="89">
        <f t="shared" si="32"/>
        <v>85680000</v>
      </c>
      <c r="U125" s="85">
        <f>T125/N125*100</f>
        <v>50.09700154711329</v>
      </c>
      <c r="V125" s="85">
        <f t="shared" si="32"/>
        <v>116550200</v>
      </c>
      <c r="W125" s="85">
        <f t="shared" si="31"/>
        <v>57.63244065426429</v>
      </c>
      <c r="X125" s="85"/>
      <c r="Y125" s="51"/>
      <c r="Z125" s="45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s="25" customFormat="1" ht="27">
      <c r="A126" s="84"/>
      <c r="B126" s="247" t="s">
        <v>253</v>
      </c>
      <c r="C126" s="87" t="s">
        <v>267</v>
      </c>
      <c r="D126" s="84" t="s">
        <v>76</v>
      </c>
      <c r="E126" s="84" t="s">
        <v>306</v>
      </c>
      <c r="F126" s="84" t="s">
        <v>75</v>
      </c>
      <c r="G126" s="9" t="s">
        <v>28</v>
      </c>
      <c r="H126" s="5" t="s">
        <v>5</v>
      </c>
      <c r="I126" s="84"/>
      <c r="J126" s="39">
        <v>85857000</v>
      </c>
      <c r="K126" s="39"/>
      <c r="L126" s="39"/>
      <c r="M126" s="7" t="s">
        <v>221</v>
      </c>
      <c r="N126" s="88">
        <v>85857000</v>
      </c>
      <c r="O126" s="39">
        <f aca="true" t="shared" si="33" ref="O126:O142">N126/J126*100</f>
        <v>100</v>
      </c>
      <c r="P126" s="91" t="s">
        <v>139</v>
      </c>
      <c r="Q126" s="91" t="s">
        <v>309</v>
      </c>
      <c r="R126" s="88">
        <v>85680000</v>
      </c>
      <c r="S126" s="88"/>
      <c r="T126" s="88">
        <f>R126+S126</f>
        <v>85680000</v>
      </c>
      <c r="U126" s="39">
        <f>T126/N126*100</f>
        <v>99.7938432509871</v>
      </c>
      <c r="V126" s="8">
        <f>J126-T126</f>
        <v>177000</v>
      </c>
      <c r="W126" s="39">
        <f t="shared" si="31"/>
        <v>0.20615674901289355</v>
      </c>
      <c r="X126" s="39"/>
      <c r="Y126" s="166"/>
      <c r="Z126" s="46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s="25" customFormat="1" ht="13.5">
      <c r="A127" s="84"/>
      <c r="B127" s="247" t="s">
        <v>254</v>
      </c>
      <c r="C127" s="87" t="s">
        <v>109</v>
      </c>
      <c r="D127" s="84" t="s">
        <v>76</v>
      </c>
      <c r="E127" s="84" t="s">
        <v>306</v>
      </c>
      <c r="F127" s="84" t="s">
        <v>75</v>
      </c>
      <c r="G127" s="9" t="s">
        <v>28</v>
      </c>
      <c r="H127" s="5" t="s">
        <v>5</v>
      </c>
      <c r="I127" s="84"/>
      <c r="J127" s="39">
        <v>74773200</v>
      </c>
      <c r="K127" s="39"/>
      <c r="L127" s="39"/>
      <c r="M127" s="7" t="s">
        <v>221</v>
      </c>
      <c r="N127" s="88">
        <v>74773200</v>
      </c>
      <c r="O127" s="39">
        <f t="shared" si="33"/>
        <v>100</v>
      </c>
      <c r="P127" s="91" t="s">
        <v>139</v>
      </c>
      <c r="Q127" s="91" t="s">
        <v>309</v>
      </c>
      <c r="R127" s="88"/>
      <c r="S127" s="88"/>
      <c r="T127" s="88">
        <f>R127+S127</f>
        <v>0</v>
      </c>
      <c r="U127" s="39">
        <f aca="true" t="shared" si="34" ref="U127:U142">T127/N127*100</f>
        <v>0</v>
      </c>
      <c r="V127" s="8">
        <f>J127-T127</f>
        <v>74773200</v>
      </c>
      <c r="W127" s="39">
        <f t="shared" si="31"/>
        <v>100</v>
      </c>
      <c r="X127" s="39"/>
      <c r="Y127" s="166"/>
      <c r="Z127" s="46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25" customFormat="1" ht="13.5">
      <c r="A128" s="84"/>
      <c r="B128" s="247" t="s">
        <v>255</v>
      </c>
      <c r="C128" s="87" t="s">
        <v>268</v>
      </c>
      <c r="D128" s="84" t="s">
        <v>76</v>
      </c>
      <c r="E128" s="84" t="s">
        <v>140</v>
      </c>
      <c r="F128" s="84" t="s">
        <v>75</v>
      </c>
      <c r="G128" s="9" t="s">
        <v>28</v>
      </c>
      <c r="H128" s="5" t="s">
        <v>5</v>
      </c>
      <c r="I128" s="84"/>
      <c r="J128" s="39">
        <v>41600000</v>
      </c>
      <c r="K128" s="39"/>
      <c r="L128" s="39"/>
      <c r="M128" s="7" t="s">
        <v>78</v>
      </c>
      <c r="N128" s="88">
        <f>3466000+3466000+3466000</f>
        <v>10398000</v>
      </c>
      <c r="O128" s="39">
        <f t="shared" si="33"/>
        <v>24.995192307692307</v>
      </c>
      <c r="P128" s="91" t="s">
        <v>139</v>
      </c>
      <c r="Q128" s="91" t="s">
        <v>309</v>
      </c>
      <c r="R128" s="88"/>
      <c r="S128" s="88"/>
      <c r="T128" s="88">
        <f>R128+S128</f>
        <v>0</v>
      </c>
      <c r="U128" s="39">
        <f t="shared" si="34"/>
        <v>0</v>
      </c>
      <c r="V128" s="8">
        <f>J128-T128</f>
        <v>41600000</v>
      </c>
      <c r="W128" s="39">
        <f t="shared" si="31"/>
        <v>100</v>
      </c>
      <c r="X128" s="39"/>
      <c r="Y128" s="166"/>
      <c r="Z128" s="46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26" customFormat="1" ht="13.5">
      <c r="A129" s="107"/>
      <c r="B129" s="242" t="s">
        <v>256</v>
      </c>
      <c r="C129" s="108" t="s">
        <v>269</v>
      </c>
      <c r="D129" s="107" t="s">
        <v>76</v>
      </c>
      <c r="E129" s="107" t="s">
        <v>306</v>
      </c>
      <c r="F129" s="107" t="s">
        <v>75</v>
      </c>
      <c r="G129" s="10" t="s">
        <v>28</v>
      </c>
      <c r="H129" s="102" t="s">
        <v>5</v>
      </c>
      <c r="I129" s="107"/>
      <c r="J129" s="85">
        <f>J130</f>
        <v>566600000</v>
      </c>
      <c r="K129" s="85"/>
      <c r="L129" s="85"/>
      <c r="M129" s="85"/>
      <c r="N129" s="85">
        <f aca="true" t="shared" si="35" ref="N129:V129">N130</f>
        <v>141656000</v>
      </c>
      <c r="O129" s="85">
        <f t="shared" si="33"/>
        <v>25.00105894811154</v>
      </c>
      <c r="P129" s="170" t="s">
        <v>139</v>
      </c>
      <c r="Q129" s="170" t="s">
        <v>309</v>
      </c>
      <c r="R129" s="89">
        <f t="shared" si="35"/>
        <v>94108900</v>
      </c>
      <c r="S129" s="89">
        <f t="shared" si="35"/>
        <v>0</v>
      </c>
      <c r="T129" s="89">
        <f t="shared" si="35"/>
        <v>94108900</v>
      </c>
      <c r="U129" s="85">
        <f>T129/N129*100</f>
        <v>66.4348139154007</v>
      </c>
      <c r="V129" s="85">
        <f t="shared" si="35"/>
        <v>472491100</v>
      </c>
      <c r="W129" s="85">
        <f t="shared" si="31"/>
        <v>83.39059301094245</v>
      </c>
      <c r="X129" s="85"/>
      <c r="Y129" s="51"/>
      <c r="Z129" s="45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s="25" customFormat="1" ht="13.5">
      <c r="A130" s="84"/>
      <c r="B130" s="247" t="s">
        <v>257</v>
      </c>
      <c r="C130" s="87" t="s">
        <v>270</v>
      </c>
      <c r="D130" s="84" t="s">
        <v>76</v>
      </c>
      <c r="E130" s="84" t="s">
        <v>306</v>
      </c>
      <c r="F130" s="84" t="s">
        <v>75</v>
      </c>
      <c r="G130" s="9" t="s">
        <v>28</v>
      </c>
      <c r="H130" s="5" t="s">
        <v>5</v>
      </c>
      <c r="I130" s="84"/>
      <c r="J130" s="39">
        <v>566600000</v>
      </c>
      <c r="K130" s="39"/>
      <c r="L130" s="39"/>
      <c r="M130" s="7" t="s">
        <v>78</v>
      </c>
      <c r="N130" s="88">
        <f>566600000-424944000</f>
        <v>141656000</v>
      </c>
      <c r="O130" s="39">
        <f t="shared" si="33"/>
        <v>25.00105894811154</v>
      </c>
      <c r="P130" s="91" t="s">
        <v>139</v>
      </c>
      <c r="Q130" s="91" t="s">
        <v>309</v>
      </c>
      <c r="R130" s="88">
        <f>46948400+47160500</f>
        <v>94108900</v>
      </c>
      <c r="S130" s="88"/>
      <c r="T130" s="88">
        <f>R130+S130</f>
        <v>94108900</v>
      </c>
      <c r="U130" s="39">
        <f t="shared" si="34"/>
        <v>66.4348139154007</v>
      </c>
      <c r="V130" s="8">
        <f>J130-T130</f>
        <v>472491100</v>
      </c>
      <c r="W130" s="39">
        <f t="shared" si="31"/>
        <v>83.39059301094245</v>
      </c>
      <c r="X130" s="39"/>
      <c r="Y130" s="166"/>
      <c r="Z130" s="46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s="26" customFormat="1" ht="13.5">
      <c r="A131" s="107"/>
      <c r="B131" s="242" t="s">
        <v>106</v>
      </c>
      <c r="C131" s="108" t="s">
        <v>114</v>
      </c>
      <c r="D131" s="107" t="s">
        <v>76</v>
      </c>
      <c r="E131" s="107" t="s">
        <v>140</v>
      </c>
      <c r="F131" s="107" t="s">
        <v>75</v>
      </c>
      <c r="G131" s="10" t="s">
        <v>28</v>
      </c>
      <c r="H131" s="102" t="s">
        <v>5</v>
      </c>
      <c r="I131" s="107"/>
      <c r="J131" s="85">
        <f>J132</f>
        <v>24000000</v>
      </c>
      <c r="K131" s="85"/>
      <c r="L131" s="85"/>
      <c r="M131" s="85"/>
      <c r="N131" s="85">
        <f aca="true" t="shared" si="36" ref="N131:V131">N132</f>
        <v>6000000</v>
      </c>
      <c r="O131" s="85">
        <f t="shared" si="33"/>
        <v>25</v>
      </c>
      <c r="P131" s="170" t="s">
        <v>139</v>
      </c>
      <c r="Q131" s="170" t="s">
        <v>309</v>
      </c>
      <c r="R131" s="89">
        <f t="shared" si="36"/>
        <v>975000</v>
      </c>
      <c r="S131" s="89">
        <f t="shared" si="36"/>
        <v>0</v>
      </c>
      <c r="T131" s="89">
        <f t="shared" si="36"/>
        <v>975000</v>
      </c>
      <c r="U131" s="85">
        <f t="shared" si="34"/>
        <v>16.25</v>
      </c>
      <c r="V131" s="85">
        <f t="shared" si="36"/>
        <v>23025000</v>
      </c>
      <c r="W131" s="85">
        <f t="shared" si="31"/>
        <v>95.9375</v>
      </c>
      <c r="X131" s="85"/>
      <c r="Y131" s="51"/>
      <c r="Z131" s="45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s="25" customFormat="1" ht="13.5">
      <c r="A132" s="84"/>
      <c r="B132" s="247" t="s">
        <v>258</v>
      </c>
      <c r="C132" s="87" t="s">
        <v>271</v>
      </c>
      <c r="D132" s="84" t="s">
        <v>76</v>
      </c>
      <c r="E132" s="84" t="s">
        <v>140</v>
      </c>
      <c r="F132" s="84" t="s">
        <v>75</v>
      </c>
      <c r="G132" s="9" t="s">
        <v>28</v>
      </c>
      <c r="H132" s="5" t="s">
        <v>5</v>
      </c>
      <c r="I132" s="84"/>
      <c r="J132" s="39">
        <v>24000000</v>
      </c>
      <c r="K132" s="39"/>
      <c r="L132" s="39"/>
      <c r="M132" s="7" t="s">
        <v>78</v>
      </c>
      <c r="N132" s="88">
        <f>2000000+2000000+2000000</f>
        <v>6000000</v>
      </c>
      <c r="O132" s="39">
        <f t="shared" si="33"/>
        <v>25</v>
      </c>
      <c r="P132" s="91" t="s">
        <v>139</v>
      </c>
      <c r="Q132" s="91" t="s">
        <v>309</v>
      </c>
      <c r="R132" s="88">
        <v>975000</v>
      </c>
      <c r="S132" s="88"/>
      <c r="T132" s="88">
        <f>R132+S132</f>
        <v>975000</v>
      </c>
      <c r="U132" s="39">
        <f>T132/N132*100</f>
        <v>16.25</v>
      </c>
      <c r="V132" s="8">
        <f>J132-T132</f>
        <v>23025000</v>
      </c>
      <c r="W132" s="39">
        <f t="shared" si="31"/>
        <v>95.9375</v>
      </c>
      <c r="X132" s="39"/>
      <c r="Y132" s="166"/>
      <c r="Z132" s="46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26" customFormat="1" ht="13.5">
      <c r="A133" s="107"/>
      <c r="B133" s="242" t="s">
        <v>259</v>
      </c>
      <c r="C133" s="108" t="s">
        <v>132</v>
      </c>
      <c r="D133" s="107" t="s">
        <v>76</v>
      </c>
      <c r="E133" s="107" t="s">
        <v>306</v>
      </c>
      <c r="F133" s="107" t="s">
        <v>75</v>
      </c>
      <c r="G133" s="10" t="s">
        <v>28</v>
      </c>
      <c r="H133" s="102" t="s">
        <v>5</v>
      </c>
      <c r="I133" s="107"/>
      <c r="J133" s="85">
        <f>J134</f>
        <v>477000000</v>
      </c>
      <c r="K133" s="85"/>
      <c r="L133" s="85"/>
      <c r="M133" s="85"/>
      <c r="N133" s="85">
        <f aca="true" t="shared" si="37" ref="N133:T133">N134</f>
        <v>477000000</v>
      </c>
      <c r="O133" s="85">
        <f t="shared" si="33"/>
        <v>100</v>
      </c>
      <c r="P133" s="170" t="s">
        <v>139</v>
      </c>
      <c r="Q133" s="170" t="s">
        <v>309</v>
      </c>
      <c r="R133" s="89">
        <f t="shared" si="37"/>
        <v>30675000</v>
      </c>
      <c r="S133" s="89">
        <f t="shared" si="37"/>
        <v>33250000</v>
      </c>
      <c r="T133" s="89">
        <f t="shared" si="37"/>
        <v>63925000</v>
      </c>
      <c r="U133" s="85">
        <f t="shared" si="34"/>
        <v>13.40146750524109</v>
      </c>
      <c r="V133" s="85">
        <f>V134</f>
        <v>413075000</v>
      </c>
      <c r="W133" s="85">
        <f t="shared" si="31"/>
        <v>86.5985324947589</v>
      </c>
      <c r="X133" s="85"/>
      <c r="Y133" s="51"/>
      <c r="Z133" s="45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s="25" customFormat="1" ht="13.5">
      <c r="A134" s="84"/>
      <c r="B134" s="247" t="s">
        <v>260</v>
      </c>
      <c r="C134" s="87" t="s">
        <v>133</v>
      </c>
      <c r="D134" s="84" t="s">
        <v>76</v>
      </c>
      <c r="E134" s="84" t="s">
        <v>306</v>
      </c>
      <c r="F134" s="84" t="s">
        <v>75</v>
      </c>
      <c r="G134" s="9" t="s">
        <v>28</v>
      </c>
      <c r="H134" s="5" t="s">
        <v>5</v>
      </c>
      <c r="I134" s="84"/>
      <c r="J134" s="39">
        <v>477000000</v>
      </c>
      <c r="K134" s="39"/>
      <c r="L134" s="39"/>
      <c r="M134" s="7" t="s">
        <v>78</v>
      </c>
      <c r="N134" s="88">
        <f>477000000</f>
        <v>477000000</v>
      </c>
      <c r="O134" s="39">
        <f t="shared" si="33"/>
        <v>100</v>
      </c>
      <c r="P134" s="91" t="s">
        <v>139</v>
      </c>
      <c r="Q134" s="91" t="s">
        <v>309</v>
      </c>
      <c r="R134" s="88">
        <v>30675000</v>
      </c>
      <c r="S134" s="88">
        <v>33250000</v>
      </c>
      <c r="T134" s="88">
        <f>R134+S134</f>
        <v>63925000</v>
      </c>
      <c r="U134" s="39">
        <f t="shared" si="34"/>
        <v>13.40146750524109</v>
      </c>
      <c r="V134" s="8">
        <f>J134-T134</f>
        <v>413075000</v>
      </c>
      <c r="W134" s="39">
        <f t="shared" si="31"/>
        <v>86.5985324947589</v>
      </c>
      <c r="X134" s="39"/>
      <c r="Y134" s="166"/>
      <c r="Z134" s="46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26" customFormat="1" ht="13.5">
      <c r="A135" s="107"/>
      <c r="B135" s="242" t="s">
        <v>204</v>
      </c>
      <c r="C135" s="108" t="s">
        <v>122</v>
      </c>
      <c r="D135" s="107" t="s">
        <v>76</v>
      </c>
      <c r="E135" s="107" t="s">
        <v>140</v>
      </c>
      <c r="F135" s="107" t="s">
        <v>75</v>
      </c>
      <c r="G135" s="10" t="s">
        <v>28</v>
      </c>
      <c r="H135" s="102" t="s">
        <v>5</v>
      </c>
      <c r="I135" s="107"/>
      <c r="J135" s="85">
        <f>J136</f>
        <v>108000000</v>
      </c>
      <c r="K135" s="85"/>
      <c r="L135" s="85"/>
      <c r="M135" s="85"/>
      <c r="N135" s="85">
        <f aca="true" t="shared" si="38" ref="N135:V135">N136</f>
        <v>27000000</v>
      </c>
      <c r="O135" s="85">
        <f t="shared" si="33"/>
        <v>25</v>
      </c>
      <c r="P135" s="170" t="s">
        <v>139</v>
      </c>
      <c r="Q135" s="170" t="s">
        <v>309</v>
      </c>
      <c r="R135" s="89">
        <f t="shared" si="38"/>
        <v>9000000</v>
      </c>
      <c r="S135" s="89">
        <f t="shared" si="38"/>
        <v>18000000</v>
      </c>
      <c r="T135" s="89">
        <f t="shared" si="38"/>
        <v>27000000</v>
      </c>
      <c r="U135" s="85">
        <f t="shared" si="34"/>
        <v>100</v>
      </c>
      <c r="V135" s="85">
        <f t="shared" si="38"/>
        <v>81000000</v>
      </c>
      <c r="W135" s="85">
        <f t="shared" si="31"/>
        <v>75</v>
      </c>
      <c r="X135" s="85"/>
      <c r="Y135" s="51"/>
      <c r="Z135" s="45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s="25" customFormat="1" ht="13.5">
      <c r="A136" s="84"/>
      <c r="B136" s="247" t="s">
        <v>205</v>
      </c>
      <c r="C136" s="87" t="s">
        <v>123</v>
      </c>
      <c r="D136" s="84" t="s">
        <v>76</v>
      </c>
      <c r="E136" s="84" t="s">
        <v>140</v>
      </c>
      <c r="F136" s="84" t="s">
        <v>75</v>
      </c>
      <c r="G136" s="9" t="s">
        <v>28</v>
      </c>
      <c r="H136" s="5" t="s">
        <v>5</v>
      </c>
      <c r="I136" s="84"/>
      <c r="J136" s="39">
        <v>108000000</v>
      </c>
      <c r="K136" s="39"/>
      <c r="L136" s="39"/>
      <c r="M136" s="7" t="s">
        <v>78</v>
      </c>
      <c r="N136" s="88">
        <f>9000000+9000000+9000000</f>
        <v>27000000</v>
      </c>
      <c r="O136" s="39">
        <f t="shared" si="33"/>
        <v>25</v>
      </c>
      <c r="P136" s="91" t="s">
        <v>139</v>
      </c>
      <c r="Q136" s="91" t="s">
        <v>309</v>
      </c>
      <c r="R136" s="88">
        <v>9000000</v>
      </c>
      <c r="S136" s="88">
        <v>18000000</v>
      </c>
      <c r="T136" s="88">
        <f>R136+S136</f>
        <v>27000000</v>
      </c>
      <c r="U136" s="39">
        <f t="shared" si="34"/>
        <v>100</v>
      </c>
      <c r="V136" s="8">
        <f>J136-T136</f>
        <v>81000000</v>
      </c>
      <c r="W136" s="39">
        <f t="shared" si="31"/>
        <v>75</v>
      </c>
      <c r="X136" s="39"/>
      <c r="Y136" s="166"/>
      <c r="Z136" s="46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26" customFormat="1" ht="13.5">
      <c r="A137" s="107"/>
      <c r="B137" s="242" t="s">
        <v>261</v>
      </c>
      <c r="C137" s="108" t="s">
        <v>272</v>
      </c>
      <c r="D137" s="107" t="s">
        <v>76</v>
      </c>
      <c r="E137" s="107" t="s">
        <v>306</v>
      </c>
      <c r="F137" s="107" t="s">
        <v>75</v>
      </c>
      <c r="G137" s="10" t="s">
        <v>28</v>
      </c>
      <c r="H137" s="102" t="s">
        <v>5</v>
      </c>
      <c r="I137" s="107"/>
      <c r="J137" s="85">
        <f>SUM(J138:J139)</f>
        <v>47103400</v>
      </c>
      <c r="K137" s="85"/>
      <c r="L137" s="85"/>
      <c r="M137" s="85"/>
      <c r="N137" s="85">
        <f aca="true" t="shared" si="39" ref="N137:V137">SUM(N138:N139)</f>
        <v>47103400</v>
      </c>
      <c r="O137" s="85">
        <f t="shared" si="33"/>
        <v>100</v>
      </c>
      <c r="P137" s="170" t="s">
        <v>139</v>
      </c>
      <c r="Q137" s="170" t="s">
        <v>314</v>
      </c>
      <c r="R137" s="89">
        <f t="shared" si="39"/>
        <v>10150000</v>
      </c>
      <c r="S137" s="89">
        <f t="shared" si="39"/>
        <v>0</v>
      </c>
      <c r="T137" s="89">
        <f>SUM(T138:T139)</f>
        <v>10150000</v>
      </c>
      <c r="U137" s="85">
        <f t="shared" si="34"/>
        <v>21.54833833651074</v>
      </c>
      <c r="V137" s="85">
        <f t="shared" si="39"/>
        <v>36953400</v>
      </c>
      <c r="W137" s="85">
        <f t="shared" si="31"/>
        <v>78.45166166348926</v>
      </c>
      <c r="X137" s="85"/>
      <c r="Y137" s="51"/>
      <c r="Z137" s="45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s="25" customFormat="1" ht="13.5">
      <c r="A138" s="84"/>
      <c r="B138" s="247" t="s">
        <v>262</v>
      </c>
      <c r="C138" s="87" t="s">
        <v>273</v>
      </c>
      <c r="D138" s="84" t="s">
        <v>76</v>
      </c>
      <c r="E138" s="84" t="s">
        <v>306</v>
      </c>
      <c r="F138" s="84" t="s">
        <v>75</v>
      </c>
      <c r="G138" s="9" t="s">
        <v>28</v>
      </c>
      <c r="H138" s="5" t="s">
        <v>5</v>
      </c>
      <c r="I138" s="84"/>
      <c r="J138" s="39">
        <v>10200000</v>
      </c>
      <c r="K138" s="39"/>
      <c r="L138" s="39"/>
      <c r="M138" s="7" t="s">
        <v>221</v>
      </c>
      <c r="N138" s="88">
        <v>10200000</v>
      </c>
      <c r="O138" s="39">
        <f t="shared" si="33"/>
        <v>100</v>
      </c>
      <c r="P138" s="91" t="s">
        <v>139</v>
      </c>
      <c r="Q138" s="91" t="s">
        <v>314</v>
      </c>
      <c r="R138" s="88">
        <v>10150000</v>
      </c>
      <c r="S138" s="88"/>
      <c r="T138" s="88">
        <f>R138+S138</f>
        <v>10150000</v>
      </c>
      <c r="U138" s="39">
        <f t="shared" si="34"/>
        <v>99.50980392156863</v>
      </c>
      <c r="V138" s="8">
        <f>J138-T138</f>
        <v>50000</v>
      </c>
      <c r="W138" s="39">
        <f t="shared" si="31"/>
        <v>0.49019607843137253</v>
      </c>
      <c r="X138" s="39"/>
      <c r="Y138" s="166"/>
      <c r="Z138" s="46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25" customFormat="1" ht="13.5">
      <c r="A139" s="84"/>
      <c r="B139" s="247" t="s">
        <v>263</v>
      </c>
      <c r="C139" s="87" t="s">
        <v>274</v>
      </c>
      <c r="D139" s="84" t="s">
        <v>76</v>
      </c>
      <c r="E139" s="84" t="s">
        <v>306</v>
      </c>
      <c r="F139" s="84" t="s">
        <v>75</v>
      </c>
      <c r="G139" s="9" t="s">
        <v>28</v>
      </c>
      <c r="H139" s="5" t="s">
        <v>5</v>
      </c>
      <c r="I139" s="84"/>
      <c r="J139" s="39">
        <v>36903400</v>
      </c>
      <c r="K139" s="39"/>
      <c r="L139" s="39"/>
      <c r="M139" s="7" t="s">
        <v>221</v>
      </c>
      <c r="N139" s="88">
        <v>36903400</v>
      </c>
      <c r="O139" s="39">
        <f t="shared" si="33"/>
        <v>100</v>
      </c>
      <c r="P139" s="91" t="s">
        <v>139</v>
      </c>
      <c r="Q139" s="91" t="s">
        <v>314</v>
      </c>
      <c r="R139" s="88"/>
      <c r="S139" s="88"/>
      <c r="T139" s="88"/>
      <c r="U139" s="39">
        <f t="shared" si="34"/>
        <v>0</v>
      </c>
      <c r="V139" s="8">
        <f>J139-T139</f>
        <v>36903400</v>
      </c>
      <c r="W139" s="39">
        <f t="shared" si="31"/>
        <v>100</v>
      </c>
      <c r="X139" s="39"/>
      <c r="Y139" s="166"/>
      <c r="Z139" s="46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26" customFormat="1" ht="13.5">
      <c r="A140" s="120"/>
      <c r="B140" s="271" t="s">
        <v>264</v>
      </c>
      <c r="C140" s="118"/>
      <c r="D140" s="120"/>
      <c r="E140" s="120"/>
      <c r="F140" s="120"/>
      <c r="G140" s="118"/>
      <c r="H140" s="120"/>
      <c r="I140" s="120"/>
      <c r="J140" s="122">
        <f>J141</f>
        <v>29100000</v>
      </c>
      <c r="K140" s="122"/>
      <c r="L140" s="122"/>
      <c r="M140" s="125"/>
      <c r="N140" s="124">
        <f>N141</f>
        <v>29100000</v>
      </c>
      <c r="O140" s="128"/>
      <c r="P140" s="169"/>
      <c r="Q140" s="169"/>
      <c r="R140" s="124"/>
      <c r="S140" s="124"/>
      <c r="T140" s="124"/>
      <c r="U140" s="150"/>
      <c r="V140" s="125">
        <f>V141</f>
        <v>29100000</v>
      </c>
      <c r="W140" s="150"/>
      <c r="X140" s="122"/>
      <c r="Y140" s="51"/>
      <c r="Z140" s="45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s="26" customFormat="1" ht="13.5">
      <c r="A141" s="107"/>
      <c r="B141" s="242" t="s">
        <v>265</v>
      </c>
      <c r="C141" s="108" t="s">
        <v>275</v>
      </c>
      <c r="D141" s="107" t="s">
        <v>76</v>
      </c>
      <c r="E141" s="107" t="s">
        <v>306</v>
      </c>
      <c r="F141" s="107" t="s">
        <v>75</v>
      </c>
      <c r="G141" s="10" t="s">
        <v>28</v>
      </c>
      <c r="H141" s="102" t="s">
        <v>5</v>
      </c>
      <c r="I141" s="107"/>
      <c r="J141" s="85">
        <f>J142</f>
        <v>29100000</v>
      </c>
      <c r="K141" s="85"/>
      <c r="L141" s="85"/>
      <c r="M141" s="105"/>
      <c r="N141" s="89">
        <f>N142</f>
        <v>29100000</v>
      </c>
      <c r="O141" s="85">
        <f t="shared" si="33"/>
        <v>100</v>
      </c>
      <c r="P141" s="170" t="s">
        <v>139</v>
      </c>
      <c r="Q141" s="170" t="s">
        <v>314</v>
      </c>
      <c r="R141" s="89"/>
      <c r="S141" s="89"/>
      <c r="T141" s="89"/>
      <c r="U141" s="85">
        <f t="shared" si="34"/>
        <v>0</v>
      </c>
      <c r="V141" s="86">
        <f>V142</f>
        <v>29100000</v>
      </c>
      <c r="W141" s="85">
        <f t="shared" si="31"/>
        <v>100</v>
      </c>
      <c r="X141" s="85"/>
      <c r="Y141" s="51"/>
      <c r="Z141" s="45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s="25" customFormat="1" ht="13.5">
      <c r="A142" s="84"/>
      <c r="B142" s="247" t="s">
        <v>266</v>
      </c>
      <c r="C142" s="87" t="s">
        <v>120</v>
      </c>
      <c r="D142" s="84" t="s">
        <v>76</v>
      </c>
      <c r="E142" s="84" t="s">
        <v>306</v>
      </c>
      <c r="F142" s="84" t="s">
        <v>75</v>
      </c>
      <c r="G142" s="9" t="s">
        <v>28</v>
      </c>
      <c r="H142" s="5" t="s">
        <v>5</v>
      </c>
      <c r="I142" s="84"/>
      <c r="J142" s="39">
        <v>29100000</v>
      </c>
      <c r="K142" s="39"/>
      <c r="L142" s="39"/>
      <c r="M142" s="7" t="s">
        <v>221</v>
      </c>
      <c r="N142" s="88">
        <v>29100000</v>
      </c>
      <c r="O142" s="39">
        <f t="shared" si="33"/>
        <v>100</v>
      </c>
      <c r="P142" s="91" t="s">
        <v>139</v>
      </c>
      <c r="Q142" s="91" t="s">
        <v>314</v>
      </c>
      <c r="R142" s="88"/>
      <c r="S142" s="88"/>
      <c r="T142" s="88"/>
      <c r="U142" s="39">
        <f t="shared" si="34"/>
        <v>0</v>
      </c>
      <c r="V142" s="8">
        <f>J142-T142</f>
        <v>29100000</v>
      </c>
      <c r="W142" s="39">
        <f t="shared" si="31"/>
        <v>100</v>
      </c>
      <c r="X142" s="39"/>
      <c r="Y142" s="166"/>
      <c r="Z142" s="46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26" customFormat="1" ht="27">
      <c r="A143" s="220">
        <v>5</v>
      </c>
      <c r="B143" s="272" t="s">
        <v>276</v>
      </c>
      <c r="C143" s="221"/>
      <c r="D143" s="220"/>
      <c r="E143" s="220"/>
      <c r="F143" s="220"/>
      <c r="G143" s="221"/>
      <c r="H143" s="220"/>
      <c r="I143" s="220"/>
      <c r="J143" s="222">
        <f>J144+J161</f>
        <v>138531800</v>
      </c>
      <c r="K143" s="222"/>
      <c r="L143" s="222"/>
      <c r="M143" s="222"/>
      <c r="N143" s="222">
        <f aca="true" t="shared" si="40" ref="N143:V143">N144+N161</f>
        <v>138531800</v>
      </c>
      <c r="O143" s="222">
        <f>N143/J143*100</f>
        <v>100</v>
      </c>
      <c r="P143" s="222"/>
      <c r="Q143" s="222"/>
      <c r="R143" s="279">
        <f t="shared" si="40"/>
        <v>65530500</v>
      </c>
      <c r="S143" s="279">
        <f t="shared" si="40"/>
        <v>0</v>
      </c>
      <c r="T143" s="279">
        <f t="shared" si="40"/>
        <v>65530500</v>
      </c>
      <c r="U143" s="222">
        <f t="shared" si="40"/>
        <v>0</v>
      </c>
      <c r="V143" s="222">
        <f t="shared" si="40"/>
        <v>73001300</v>
      </c>
      <c r="W143" s="222">
        <f>V143/J143*100</f>
        <v>52.69642060523287</v>
      </c>
      <c r="X143" s="222"/>
      <c r="Y143" s="51"/>
      <c r="Z143" s="45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s="26" customFormat="1" ht="13.5">
      <c r="A144" s="120"/>
      <c r="B144" s="271" t="s">
        <v>79</v>
      </c>
      <c r="C144" s="118"/>
      <c r="D144" s="120"/>
      <c r="E144" s="120"/>
      <c r="F144" s="120"/>
      <c r="G144" s="118"/>
      <c r="H144" s="120"/>
      <c r="I144" s="120"/>
      <c r="J144" s="122">
        <f>J145+J147+J153+J155+J157+J159</f>
        <v>67281800</v>
      </c>
      <c r="K144" s="122"/>
      <c r="L144" s="122"/>
      <c r="M144" s="122"/>
      <c r="N144" s="122">
        <f aca="true" t="shared" si="41" ref="N144:V144">N145+N147+N153+N155+N157+N159</f>
        <v>67281800</v>
      </c>
      <c r="O144" s="122">
        <f>N144/J144*100</f>
        <v>100</v>
      </c>
      <c r="P144" s="122"/>
      <c r="Q144" s="122"/>
      <c r="R144" s="124">
        <f t="shared" si="41"/>
        <v>65530500</v>
      </c>
      <c r="S144" s="124">
        <f t="shared" si="41"/>
        <v>0</v>
      </c>
      <c r="T144" s="124">
        <f t="shared" si="41"/>
        <v>65530500</v>
      </c>
      <c r="U144" s="122">
        <f t="shared" si="41"/>
        <v>0</v>
      </c>
      <c r="V144" s="122">
        <f t="shared" si="41"/>
        <v>1751300</v>
      </c>
      <c r="W144" s="122">
        <f>V144/J144*100</f>
        <v>2.6029327396116035</v>
      </c>
      <c r="X144" s="122"/>
      <c r="Y144" s="51"/>
      <c r="Z144" s="45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s="26" customFormat="1" ht="13.5">
      <c r="A145" s="107"/>
      <c r="B145" s="242" t="s">
        <v>256</v>
      </c>
      <c r="C145" s="108" t="s">
        <v>269</v>
      </c>
      <c r="D145" s="107" t="s">
        <v>76</v>
      </c>
      <c r="E145" s="107" t="s">
        <v>306</v>
      </c>
      <c r="F145" s="107" t="s">
        <v>75</v>
      </c>
      <c r="G145" s="10" t="s">
        <v>28</v>
      </c>
      <c r="H145" s="102" t="s">
        <v>5</v>
      </c>
      <c r="I145" s="107"/>
      <c r="J145" s="243">
        <f aca="true" t="shared" si="42" ref="J145:X145">J146</f>
        <v>2271800</v>
      </c>
      <c r="K145" s="243">
        <f t="shared" si="42"/>
        <v>0</v>
      </c>
      <c r="L145" s="243">
        <f t="shared" si="42"/>
        <v>0</v>
      </c>
      <c r="M145" s="243"/>
      <c r="N145" s="243">
        <f t="shared" si="42"/>
        <v>2271800</v>
      </c>
      <c r="O145" s="243">
        <f>N145/J145*100</f>
        <v>100</v>
      </c>
      <c r="P145" s="243" t="str">
        <f t="shared" si="42"/>
        <v>feb</v>
      </c>
      <c r="Q145" s="243" t="s">
        <v>141</v>
      </c>
      <c r="R145" s="243">
        <f t="shared" si="42"/>
        <v>2257500</v>
      </c>
      <c r="S145" s="243">
        <f t="shared" si="42"/>
        <v>0</v>
      </c>
      <c r="T145" s="243">
        <f t="shared" si="42"/>
        <v>2257500</v>
      </c>
      <c r="U145" s="243">
        <f t="shared" si="42"/>
        <v>0</v>
      </c>
      <c r="V145" s="243">
        <f t="shared" si="42"/>
        <v>14300</v>
      </c>
      <c r="W145" s="243">
        <f t="shared" si="42"/>
        <v>0.6294568183818998</v>
      </c>
      <c r="X145" s="243">
        <f t="shared" si="42"/>
        <v>0</v>
      </c>
      <c r="Y145" s="51"/>
      <c r="Z145" s="45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s="25" customFormat="1" ht="27">
      <c r="A146" s="84"/>
      <c r="B146" s="247" t="s">
        <v>277</v>
      </c>
      <c r="C146" s="87" t="s">
        <v>289</v>
      </c>
      <c r="D146" s="84" t="s">
        <v>76</v>
      </c>
      <c r="E146" s="84" t="s">
        <v>306</v>
      </c>
      <c r="F146" s="84" t="s">
        <v>75</v>
      </c>
      <c r="G146" s="9" t="s">
        <v>28</v>
      </c>
      <c r="H146" s="5" t="s">
        <v>5</v>
      </c>
      <c r="I146" s="84"/>
      <c r="J146" s="248">
        <v>2271800</v>
      </c>
      <c r="K146" s="39"/>
      <c r="L146" s="39"/>
      <c r="M146" s="7" t="s">
        <v>221</v>
      </c>
      <c r="N146" s="88">
        <v>2271800</v>
      </c>
      <c r="O146" s="243">
        <f aca="true" t="shared" si="43" ref="O146:O163">N146/J146*100</f>
        <v>100</v>
      </c>
      <c r="P146" s="91" t="s">
        <v>141</v>
      </c>
      <c r="Q146" s="91" t="s">
        <v>141</v>
      </c>
      <c r="R146" s="88">
        <v>2257500</v>
      </c>
      <c r="S146" s="88"/>
      <c r="T146" s="88">
        <f aca="true" t="shared" si="44" ref="T146:T163">R146+S146</f>
        <v>2257500</v>
      </c>
      <c r="U146" s="39"/>
      <c r="V146" s="8">
        <f aca="true" t="shared" si="45" ref="V146:V163">J146-T146</f>
        <v>14300</v>
      </c>
      <c r="W146" s="39">
        <f aca="true" t="shared" si="46" ref="W146:W163">V146/J146*100</f>
        <v>0.6294568183818998</v>
      </c>
      <c r="X146" s="39"/>
      <c r="Y146" s="166"/>
      <c r="Z146" s="46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26" customFormat="1" ht="13.5">
      <c r="A147" s="107"/>
      <c r="B147" s="242" t="s">
        <v>106</v>
      </c>
      <c r="C147" s="108" t="s">
        <v>114</v>
      </c>
      <c r="D147" s="107" t="s">
        <v>76</v>
      </c>
      <c r="E147" s="107" t="s">
        <v>306</v>
      </c>
      <c r="F147" s="107" t="s">
        <v>75</v>
      </c>
      <c r="G147" s="10" t="s">
        <v>28</v>
      </c>
      <c r="H147" s="102" t="s">
        <v>5</v>
      </c>
      <c r="I147" s="107"/>
      <c r="J147" s="243">
        <f>SUM(J148:J152)</f>
        <v>17550000</v>
      </c>
      <c r="K147" s="243">
        <f aca="true" t="shared" si="47" ref="K147:X147">SUM(K148:K152)</f>
        <v>0</v>
      </c>
      <c r="L147" s="243">
        <f t="shared" si="47"/>
        <v>0</v>
      </c>
      <c r="M147" s="243">
        <f t="shared" si="47"/>
        <v>0</v>
      </c>
      <c r="N147" s="243">
        <f t="shared" si="47"/>
        <v>17550000</v>
      </c>
      <c r="O147" s="243">
        <f t="shared" si="43"/>
        <v>100</v>
      </c>
      <c r="P147" s="243">
        <f t="shared" si="47"/>
        <v>0</v>
      </c>
      <c r="Q147" s="243"/>
      <c r="R147" s="243">
        <f t="shared" si="47"/>
        <v>17325000</v>
      </c>
      <c r="S147" s="243">
        <f t="shared" si="47"/>
        <v>0</v>
      </c>
      <c r="T147" s="243">
        <f t="shared" si="47"/>
        <v>17325000</v>
      </c>
      <c r="U147" s="243">
        <f t="shared" si="47"/>
        <v>0</v>
      </c>
      <c r="V147" s="243">
        <f t="shared" si="47"/>
        <v>225000</v>
      </c>
      <c r="W147" s="243">
        <f>V147/J147*100</f>
        <v>1.282051282051282</v>
      </c>
      <c r="X147" s="243">
        <f t="shared" si="47"/>
        <v>0</v>
      </c>
      <c r="Y147" s="51"/>
      <c r="Z147" s="45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s="25" customFormat="1" ht="13.5">
      <c r="A148" s="84"/>
      <c r="B148" s="247" t="s">
        <v>278</v>
      </c>
      <c r="C148" s="87" t="s">
        <v>135</v>
      </c>
      <c r="D148" s="84" t="s">
        <v>76</v>
      </c>
      <c r="E148" s="84" t="s">
        <v>306</v>
      </c>
      <c r="F148" s="84" t="s">
        <v>75</v>
      </c>
      <c r="G148" s="9" t="s">
        <v>28</v>
      </c>
      <c r="H148" s="5" t="s">
        <v>5</v>
      </c>
      <c r="I148" s="84"/>
      <c r="J148" s="248">
        <v>1400000</v>
      </c>
      <c r="K148" s="39"/>
      <c r="L148" s="39"/>
      <c r="M148" s="7" t="s">
        <v>221</v>
      </c>
      <c r="N148" s="88">
        <v>1400000</v>
      </c>
      <c r="O148" s="243">
        <f t="shared" si="43"/>
        <v>100</v>
      </c>
      <c r="P148" s="91" t="s">
        <v>141</v>
      </c>
      <c r="Q148" s="91" t="s">
        <v>141</v>
      </c>
      <c r="R148" s="88">
        <v>1400000</v>
      </c>
      <c r="S148" s="88"/>
      <c r="T148" s="88">
        <f t="shared" si="44"/>
        <v>1400000</v>
      </c>
      <c r="U148" s="39"/>
      <c r="V148" s="8">
        <f t="shared" si="45"/>
        <v>0</v>
      </c>
      <c r="W148" s="39">
        <f t="shared" si="46"/>
        <v>0</v>
      </c>
      <c r="X148" s="39"/>
      <c r="Y148" s="166"/>
      <c r="Z148" s="46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25" customFormat="1" ht="13.5">
      <c r="A149" s="84"/>
      <c r="B149" s="247" t="s">
        <v>279</v>
      </c>
      <c r="C149" s="87" t="s">
        <v>290</v>
      </c>
      <c r="D149" s="84" t="s">
        <v>76</v>
      </c>
      <c r="E149" s="84" t="s">
        <v>306</v>
      </c>
      <c r="F149" s="84" t="s">
        <v>75</v>
      </c>
      <c r="G149" s="9" t="s">
        <v>28</v>
      </c>
      <c r="H149" s="5" t="s">
        <v>5</v>
      </c>
      <c r="I149" s="84"/>
      <c r="J149" s="248">
        <v>450000</v>
      </c>
      <c r="K149" s="39"/>
      <c r="L149" s="39"/>
      <c r="M149" s="7" t="s">
        <v>221</v>
      </c>
      <c r="N149" s="88">
        <v>450000</v>
      </c>
      <c r="O149" s="243">
        <f t="shared" si="43"/>
        <v>100</v>
      </c>
      <c r="P149" s="91" t="s">
        <v>141</v>
      </c>
      <c r="Q149" s="91" t="s">
        <v>141</v>
      </c>
      <c r="R149" s="88">
        <v>225000</v>
      </c>
      <c r="S149" s="88"/>
      <c r="T149" s="88">
        <f t="shared" si="44"/>
        <v>225000</v>
      </c>
      <c r="U149" s="39"/>
      <c r="V149" s="8">
        <f t="shared" si="45"/>
        <v>225000</v>
      </c>
      <c r="W149" s="39">
        <f t="shared" si="46"/>
        <v>50</v>
      </c>
      <c r="X149" s="39"/>
      <c r="Y149" s="166"/>
      <c r="Z149" s="46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25" customFormat="1" ht="13.5">
      <c r="A150" s="84"/>
      <c r="B150" s="247" t="s">
        <v>81</v>
      </c>
      <c r="C150" s="87" t="s">
        <v>137</v>
      </c>
      <c r="D150" s="84" t="s">
        <v>76</v>
      </c>
      <c r="E150" s="84" t="s">
        <v>306</v>
      </c>
      <c r="F150" s="84" t="s">
        <v>75</v>
      </c>
      <c r="G150" s="9" t="s">
        <v>28</v>
      </c>
      <c r="H150" s="5" t="s">
        <v>5</v>
      </c>
      <c r="I150" s="84"/>
      <c r="J150" s="248">
        <v>3000000</v>
      </c>
      <c r="K150" s="39"/>
      <c r="L150" s="39"/>
      <c r="M150" s="7" t="s">
        <v>299</v>
      </c>
      <c r="N150" s="88">
        <v>3000000</v>
      </c>
      <c r="O150" s="243">
        <f t="shared" si="43"/>
        <v>100</v>
      </c>
      <c r="P150" s="91" t="s">
        <v>141</v>
      </c>
      <c r="Q150" s="91" t="s">
        <v>141</v>
      </c>
      <c r="R150" s="88">
        <v>3000000</v>
      </c>
      <c r="S150" s="88"/>
      <c r="T150" s="88">
        <f t="shared" si="44"/>
        <v>3000000</v>
      </c>
      <c r="U150" s="39"/>
      <c r="V150" s="8">
        <f t="shared" si="45"/>
        <v>0</v>
      </c>
      <c r="W150" s="39">
        <f t="shared" si="46"/>
        <v>0</v>
      </c>
      <c r="X150" s="39"/>
      <c r="Y150" s="166"/>
      <c r="Z150" s="46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25" customFormat="1" ht="13.5">
      <c r="A151" s="84"/>
      <c r="B151" s="247" t="s">
        <v>280</v>
      </c>
      <c r="C151" s="87" t="s">
        <v>291</v>
      </c>
      <c r="D151" s="84" t="s">
        <v>76</v>
      </c>
      <c r="E151" s="84" t="s">
        <v>306</v>
      </c>
      <c r="F151" s="84" t="s">
        <v>75</v>
      </c>
      <c r="G151" s="9" t="s">
        <v>28</v>
      </c>
      <c r="H151" s="5" t="s">
        <v>5</v>
      </c>
      <c r="I151" s="84"/>
      <c r="J151" s="248">
        <v>10100000</v>
      </c>
      <c r="K151" s="39"/>
      <c r="L151" s="39"/>
      <c r="M151" s="7" t="s">
        <v>299</v>
      </c>
      <c r="N151" s="88">
        <v>10100000</v>
      </c>
      <c r="O151" s="243">
        <f t="shared" si="43"/>
        <v>100</v>
      </c>
      <c r="P151" s="91" t="s">
        <v>141</v>
      </c>
      <c r="Q151" s="91" t="s">
        <v>141</v>
      </c>
      <c r="R151" s="88">
        <v>10100000</v>
      </c>
      <c r="S151" s="88"/>
      <c r="T151" s="88">
        <f t="shared" si="44"/>
        <v>10100000</v>
      </c>
      <c r="U151" s="39"/>
      <c r="V151" s="8">
        <f t="shared" si="45"/>
        <v>0</v>
      </c>
      <c r="W151" s="39">
        <f t="shared" si="46"/>
        <v>0</v>
      </c>
      <c r="X151" s="39"/>
      <c r="Y151" s="166"/>
      <c r="Z151" s="46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25" customFormat="1" ht="13.5">
      <c r="A152" s="84"/>
      <c r="B152" s="247" t="s">
        <v>281</v>
      </c>
      <c r="C152" s="87" t="s">
        <v>292</v>
      </c>
      <c r="D152" s="84" t="s">
        <v>76</v>
      </c>
      <c r="E152" s="84" t="s">
        <v>306</v>
      </c>
      <c r="F152" s="84" t="s">
        <v>75</v>
      </c>
      <c r="G152" s="9" t="s">
        <v>28</v>
      </c>
      <c r="H152" s="5" t="s">
        <v>5</v>
      </c>
      <c r="I152" s="84"/>
      <c r="J152" s="248">
        <v>2600000</v>
      </c>
      <c r="K152" s="39"/>
      <c r="L152" s="39"/>
      <c r="M152" s="7" t="s">
        <v>299</v>
      </c>
      <c r="N152" s="88">
        <v>2600000</v>
      </c>
      <c r="O152" s="243">
        <f t="shared" si="43"/>
        <v>100</v>
      </c>
      <c r="P152" s="91" t="s">
        <v>141</v>
      </c>
      <c r="Q152" s="91" t="s">
        <v>141</v>
      </c>
      <c r="R152" s="88">
        <v>2600000</v>
      </c>
      <c r="S152" s="88"/>
      <c r="T152" s="88">
        <f t="shared" si="44"/>
        <v>2600000</v>
      </c>
      <c r="U152" s="39"/>
      <c r="V152" s="8">
        <f t="shared" si="45"/>
        <v>0</v>
      </c>
      <c r="W152" s="39">
        <f t="shared" si="46"/>
        <v>0</v>
      </c>
      <c r="X152" s="39"/>
      <c r="Y152" s="166"/>
      <c r="Z152" s="46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26" customFormat="1" ht="13.5">
      <c r="A153" s="107"/>
      <c r="B153" s="242" t="s">
        <v>92</v>
      </c>
      <c r="C153" s="218" t="s">
        <v>117</v>
      </c>
      <c r="D153" s="219" t="s">
        <v>76</v>
      </c>
      <c r="E153" s="219" t="s">
        <v>306</v>
      </c>
      <c r="F153" s="219" t="s">
        <v>75</v>
      </c>
      <c r="G153" s="206" t="s">
        <v>28</v>
      </c>
      <c r="H153" s="207" t="s">
        <v>5</v>
      </c>
      <c r="I153" s="219"/>
      <c r="J153" s="273">
        <f>J154</f>
        <v>1560000</v>
      </c>
      <c r="K153" s="243"/>
      <c r="L153" s="243"/>
      <c r="M153" s="274"/>
      <c r="N153" s="243">
        <f aca="true" t="shared" si="48" ref="N153:X153">N154</f>
        <v>1560000</v>
      </c>
      <c r="O153" s="243">
        <f t="shared" si="43"/>
        <v>100</v>
      </c>
      <c r="P153" s="243"/>
      <c r="Q153" s="243"/>
      <c r="R153" s="243">
        <f t="shared" si="48"/>
        <v>1548000</v>
      </c>
      <c r="S153" s="243">
        <f t="shared" si="48"/>
        <v>0</v>
      </c>
      <c r="T153" s="243">
        <f t="shared" si="48"/>
        <v>1548000</v>
      </c>
      <c r="U153" s="243">
        <f t="shared" si="48"/>
        <v>0</v>
      </c>
      <c r="V153" s="243">
        <f t="shared" si="48"/>
        <v>12000</v>
      </c>
      <c r="W153" s="243">
        <f t="shared" si="48"/>
        <v>0.7692307692307693</v>
      </c>
      <c r="X153" s="243">
        <f t="shared" si="48"/>
        <v>0</v>
      </c>
      <c r="Y153" s="51"/>
      <c r="Z153" s="45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s="25" customFormat="1" ht="27">
      <c r="A154" s="84"/>
      <c r="B154" s="247" t="s">
        <v>193</v>
      </c>
      <c r="C154" s="87" t="s">
        <v>118</v>
      </c>
      <c r="D154" s="84" t="s">
        <v>76</v>
      </c>
      <c r="E154" s="84" t="s">
        <v>306</v>
      </c>
      <c r="F154" s="84" t="s">
        <v>75</v>
      </c>
      <c r="G154" s="9" t="s">
        <v>28</v>
      </c>
      <c r="H154" s="5" t="s">
        <v>5</v>
      </c>
      <c r="I154" s="84"/>
      <c r="J154" s="248">
        <v>1560000</v>
      </c>
      <c r="K154" s="39"/>
      <c r="L154" s="39"/>
      <c r="M154" s="7" t="s">
        <v>221</v>
      </c>
      <c r="N154" s="88">
        <v>1560000</v>
      </c>
      <c r="O154" s="243">
        <f t="shared" si="43"/>
        <v>100</v>
      </c>
      <c r="P154" s="91" t="s">
        <v>141</v>
      </c>
      <c r="Q154" s="91" t="s">
        <v>141</v>
      </c>
      <c r="R154" s="88">
        <v>1548000</v>
      </c>
      <c r="S154" s="88"/>
      <c r="T154" s="88">
        <f t="shared" si="44"/>
        <v>1548000</v>
      </c>
      <c r="U154" s="39"/>
      <c r="V154" s="8">
        <f t="shared" si="45"/>
        <v>12000</v>
      </c>
      <c r="W154" s="39">
        <f t="shared" si="46"/>
        <v>0.7692307692307693</v>
      </c>
      <c r="X154" s="39"/>
      <c r="Y154" s="166"/>
      <c r="Z154" s="46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26" customFormat="1" ht="27">
      <c r="A155" s="107"/>
      <c r="B155" s="242" t="s">
        <v>282</v>
      </c>
      <c r="C155" s="108" t="s">
        <v>293</v>
      </c>
      <c r="D155" s="107" t="s">
        <v>76</v>
      </c>
      <c r="E155" s="107" t="s">
        <v>306</v>
      </c>
      <c r="F155" s="107" t="s">
        <v>75</v>
      </c>
      <c r="G155" s="10" t="s">
        <v>28</v>
      </c>
      <c r="H155" s="102" t="s">
        <v>5</v>
      </c>
      <c r="I155" s="107"/>
      <c r="J155" s="243">
        <f>J156</f>
        <v>12000000</v>
      </c>
      <c r="K155" s="243">
        <f aca="true" t="shared" si="49" ref="K155:X155">K156</f>
        <v>0</v>
      </c>
      <c r="L155" s="243">
        <f t="shared" si="49"/>
        <v>0</v>
      </c>
      <c r="M155" s="243"/>
      <c r="N155" s="243">
        <f t="shared" si="49"/>
        <v>12000000</v>
      </c>
      <c r="O155" s="243">
        <f t="shared" si="43"/>
        <v>100</v>
      </c>
      <c r="P155" s="243"/>
      <c r="Q155" s="243"/>
      <c r="R155" s="243">
        <f t="shared" si="49"/>
        <v>12000000</v>
      </c>
      <c r="S155" s="243">
        <f t="shared" si="49"/>
        <v>0</v>
      </c>
      <c r="T155" s="243">
        <f t="shared" si="49"/>
        <v>12000000</v>
      </c>
      <c r="U155" s="243">
        <f t="shared" si="49"/>
        <v>0</v>
      </c>
      <c r="V155" s="243">
        <f t="shared" si="49"/>
        <v>0</v>
      </c>
      <c r="W155" s="243">
        <f t="shared" si="49"/>
        <v>0</v>
      </c>
      <c r="X155" s="243">
        <f t="shared" si="49"/>
        <v>0</v>
      </c>
      <c r="Y155" s="51"/>
      <c r="Z155" s="45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s="25" customFormat="1" ht="13.5">
      <c r="A156" s="84"/>
      <c r="B156" s="247" t="s">
        <v>283</v>
      </c>
      <c r="C156" s="87" t="s">
        <v>294</v>
      </c>
      <c r="D156" s="84" t="s">
        <v>76</v>
      </c>
      <c r="E156" s="84" t="s">
        <v>306</v>
      </c>
      <c r="F156" s="84" t="s">
        <v>75</v>
      </c>
      <c r="G156" s="9" t="s">
        <v>28</v>
      </c>
      <c r="H156" s="5" t="s">
        <v>5</v>
      </c>
      <c r="I156" s="84"/>
      <c r="J156" s="248">
        <v>12000000</v>
      </c>
      <c r="K156" s="39"/>
      <c r="L156" s="39"/>
      <c r="M156" s="7" t="s">
        <v>221</v>
      </c>
      <c r="N156" s="88">
        <v>12000000</v>
      </c>
      <c r="O156" s="243">
        <f t="shared" si="43"/>
        <v>100</v>
      </c>
      <c r="P156" s="91" t="s">
        <v>141</v>
      </c>
      <c r="Q156" s="91" t="s">
        <v>141</v>
      </c>
      <c r="R156" s="88">
        <v>12000000</v>
      </c>
      <c r="S156" s="88"/>
      <c r="T156" s="88">
        <f t="shared" si="44"/>
        <v>12000000</v>
      </c>
      <c r="U156" s="39"/>
      <c r="V156" s="8">
        <f t="shared" si="45"/>
        <v>0</v>
      </c>
      <c r="W156" s="39">
        <f t="shared" si="46"/>
        <v>0</v>
      </c>
      <c r="X156" s="39"/>
      <c r="Y156" s="166"/>
      <c r="Z156" s="46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s="26" customFormat="1" ht="13.5">
      <c r="A157" s="107"/>
      <c r="B157" s="242" t="s">
        <v>259</v>
      </c>
      <c r="C157" s="108" t="s">
        <v>132</v>
      </c>
      <c r="D157" s="107" t="s">
        <v>76</v>
      </c>
      <c r="E157" s="107" t="s">
        <v>306</v>
      </c>
      <c r="F157" s="107" t="s">
        <v>75</v>
      </c>
      <c r="G157" s="10" t="s">
        <v>28</v>
      </c>
      <c r="H157" s="102" t="s">
        <v>5</v>
      </c>
      <c r="I157" s="107"/>
      <c r="J157" s="243">
        <f>J158</f>
        <v>32400000</v>
      </c>
      <c r="K157" s="243">
        <f aca="true" t="shared" si="50" ref="K157:X157">K158</f>
        <v>0</v>
      </c>
      <c r="L157" s="243">
        <f t="shared" si="50"/>
        <v>0</v>
      </c>
      <c r="M157" s="243"/>
      <c r="N157" s="243">
        <f t="shared" si="50"/>
        <v>32400000</v>
      </c>
      <c r="O157" s="243">
        <f t="shared" si="43"/>
        <v>100</v>
      </c>
      <c r="P157" s="243"/>
      <c r="Q157" s="243"/>
      <c r="R157" s="243">
        <f t="shared" si="50"/>
        <v>32400000</v>
      </c>
      <c r="S157" s="243">
        <f t="shared" si="50"/>
        <v>0</v>
      </c>
      <c r="T157" s="243">
        <f t="shared" si="50"/>
        <v>32400000</v>
      </c>
      <c r="U157" s="243">
        <f t="shared" si="50"/>
        <v>0</v>
      </c>
      <c r="V157" s="243">
        <f t="shared" si="50"/>
        <v>0</v>
      </c>
      <c r="W157" s="243">
        <f t="shared" si="50"/>
        <v>0</v>
      </c>
      <c r="X157" s="243">
        <f t="shared" si="50"/>
        <v>0</v>
      </c>
      <c r="Y157" s="51"/>
      <c r="Z157" s="45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s="25" customFormat="1" ht="13.5">
      <c r="A158" s="84"/>
      <c r="B158" s="247" t="s">
        <v>284</v>
      </c>
      <c r="C158" s="87" t="s">
        <v>138</v>
      </c>
      <c r="D158" s="84" t="s">
        <v>76</v>
      </c>
      <c r="E158" s="84" t="s">
        <v>306</v>
      </c>
      <c r="F158" s="84" t="s">
        <v>75</v>
      </c>
      <c r="G158" s="9" t="s">
        <v>28</v>
      </c>
      <c r="H158" s="5" t="s">
        <v>5</v>
      </c>
      <c r="I158" s="84"/>
      <c r="J158" s="248">
        <v>32400000</v>
      </c>
      <c r="K158" s="39"/>
      <c r="L158" s="39"/>
      <c r="M158" s="7" t="s">
        <v>299</v>
      </c>
      <c r="N158" s="88">
        <v>32400000</v>
      </c>
      <c r="O158" s="243">
        <f t="shared" si="43"/>
        <v>100</v>
      </c>
      <c r="P158" s="91" t="s">
        <v>141</v>
      </c>
      <c r="Q158" s="91" t="s">
        <v>141</v>
      </c>
      <c r="R158" s="88">
        <v>32400000</v>
      </c>
      <c r="S158" s="88"/>
      <c r="T158" s="88">
        <f t="shared" si="44"/>
        <v>32400000</v>
      </c>
      <c r="U158" s="39"/>
      <c r="V158" s="8">
        <f t="shared" si="45"/>
        <v>0</v>
      </c>
      <c r="W158" s="39">
        <f t="shared" si="46"/>
        <v>0</v>
      </c>
      <c r="X158" s="39"/>
      <c r="Y158" s="166"/>
      <c r="Z158" s="46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s="26" customFormat="1" ht="13.5">
      <c r="A159" s="107"/>
      <c r="B159" s="242" t="s">
        <v>285</v>
      </c>
      <c r="C159" s="108" t="s">
        <v>295</v>
      </c>
      <c r="D159" s="107" t="s">
        <v>76</v>
      </c>
      <c r="E159" s="107" t="s">
        <v>306</v>
      </c>
      <c r="F159" s="107" t="s">
        <v>75</v>
      </c>
      <c r="G159" s="10" t="s">
        <v>28</v>
      </c>
      <c r="H159" s="102" t="s">
        <v>5</v>
      </c>
      <c r="I159" s="107"/>
      <c r="J159" s="243">
        <f>J160</f>
        <v>1500000</v>
      </c>
      <c r="K159" s="243">
        <f aca="true" t="shared" si="51" ref="K159:X159">K160</f>
        <v>0</v>
      </c>
      <c r="L159" s="243">
        <f t="shared" si="51"/>
        <v>0</v>
      </c>
      <c r="M159" s="243"/>
      <c r="N159" s="243">
        <f t="shared" si="51"/>
        <v>1500000</v>
      </c>
      <c r="O159" s="243">
        <f t="shared" si="43"/>
        <v>100</v>
      </c>
      <c r="P159" s="243"/>
      <c r="Q159" s="243"/>
      <c r="R159" s="243">
        <f t="shared" si="51"/>
        <v>0</v>
      </c>
      <c r="S159" s="243">
        <f t="shared" si="51"/>
        <v>0</v>
      </c>
      <c r="T159" s="243">
        <f t="shared" si="51"/>
        <v>0</v>
      </c>
      <c r="U159" s="243">
        <f t="shared" si="51"/>
        <v>0</v>
      </c>
      <c r="V159" s="243">
        <f t="shared" si="51"/>
        <v>1500000</v>
      </c>
      <c r="W159" s="243">
        <f t="shared" si="51"/>
        <v>100</v>
      </c>
      <c r="X159" s="243">
        <f t="shared" si="51"/>
        <v>0</v>
      </c>
      <c r="Y159" s="51"/>
      <c r="Z159" s="45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s="25" customFormat="1" ht="13.5">
      <c r="A160" s="84"/>
      <c r="B160" s="247" t="s">
        <v>286</v>
      </c>
      <c r="C160" s="87" t="s">
        <v>296</v>
      </c>
      <c r="D160" s="84" t="s">
        <v>76</v>
      </c>
      <c r="E160" s="84" t="s">
        <v>306</v>
      </c>
      <c r="F160" s="84" t="s">
        <v>75</v>
      </c>
      <c r="G160" s="9" t="s">
        <v>28</v>
      </c>
      <c r="H160" s="5" t="s">
        <v>5</v>
      </c>
      <c r="I160" s="84"/>
      <c r="J160" s="248">
        <v>1500000</v>
      </c>
      <c r="K160" s="39"/>
      <c r="L160" s="39"/>
      <c r="M160" s="7" t="s">
        <v>299</v>
      </c>
      <c r="N160" s="88">
        <v>1500000</v>
      </c>
      <c r="O160" s="243">
        <f t="shared" si="43"/>
        <v>100</v>
      </c>
      <c r="P160" s="91" t="s">
        <v>141</v>
      </c>
      <c r="Q160" s="91" t="s">
        <v>141</v>
      </c>
      <c r="R160" s="88"/>
      <c r="S160" s="88"/>
      <c r="T160" s="88">
        <f t="shared" si="44"/>
        <v>0</v>
      </c>
      <c r="U160" s="39"/>
      <c r="V160" s="8">
        <f t="shared" si="45"/>
        <v>1500000</v>
      </c>
      <c r="W160" s="39">
        <f t="shared" si="46"/>
        <v>100</v>
      </c>
      <c r="X160" s="39"/>
      <c r="Y160" s="166"/>
      <c r="Z160" s="46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s="25" customFormat="1" ht="13.5">
      <c r="A161" s="216"/>
      <c r="B161" s="271" t="s">
        <v>264</v>
      </c>
      <c r="C161" s="217"/>
      <c r="D161" s="216" t="s">
        <v>76</v>
      </c>
      <c r="E161" s="216" t="s">
        <v>306</v>
      </c>
      <c r="F161" s="216" t="s">
        <v>75</v>
      </c>
      <c r="G161" s="217" t="s">
        <v>28</v>
      </c>
      <c r="H161" s="216" t="s">
        <v>5</v>
      </c>
      <c r="I161" s="216"/>
      <c r="J161" s="239">
        <f>J162</f>
        <v>71250000</v>
      </c>
      <c r="K161" s="239">
        <f aca="true" t="shared" si="52" ref="K161:X162">K162</f>
        <v>0</v>
      </c>
      <c r="L161" s="239">
        <f t="shared" si="52"/>
        <v>0</v>
      </c>
      <c r="M161" s="239"/>
      <c r="N161" s="239">
        <f t="shared" si="52"/>
        <v>71250000</v>
      </c>
      <c r="O161" s="239">
        <f t="shared" si="43"/>
        <v>100</v>
      </c>
      <c r="P161" s="239"/>
      <c r="Q161" s="239"/>
      <c r="R161" s="239">
        <f t="shared" si="52"/>
        <v>0</v>
      </c>
      <c r="S161" s="239">
        <f t="shared" si="52"/>
        <v>0</v>
      </c>
      <c r="T161" s="239">
        <f t="shared" si="52"/>
        <v>0</v>
      </c>
      <c r="U161" s="239">
        <f t="shared" si="52"/>
        <v>0</v>
      </c>
      <c r="V161" s="239">
        <f t="shared" si="52"/>
        <v>71250000</v>
      </c>
      <c r="W161" s="239">
        <f t="shared" si="52"/>
        <v>100</v>
      </c>
      <c r="X161" s="239">
        <f t="shared" si="52"/>
        <v>0</v>
      </c>
      <c r="Y161" s="166"/>
      <c r="Z161" s="46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s="26" customFormat="1" ht="13.5">
      <c r="A162" s="107"/>
      <c r="B162" s="242" t="s">
        <v>287</v>
      </c>
      <c r="C162" s="108" t="s">
        <v>297</v>
      </c>
      <c r="D162" s="107" t="s">
        <v>76</v>
      </c>
      <c r="E162" s="107" t="s">
        <v>306</v>
      </c>
      <c r="F162" s="107" t="s">
        <v>75</v>
      </c>
      <c r="G162" s="10" t="s">
        <v>28</v>
      </c>
      <c r="H162" s="102" t="s">
        <v>5</v>
      </c>
      <c r="I162" s="107"/>
      <c r="J162" s="243">
        <f>J163</f>
        <v>71250000</v>
      </c>
      <c r="K162" s="243">
        <f t="shared" si="52"/>
        <v>0</v>
      </c>
      <c r="L162" s="243">
        <f t="shared" si="52"/>
        <v>0</v>
      </c>
      <c r="M162" s="243"/>
      <c r="N162" s="243">
        <f t="shared" si="52"/>
        <v>71250000</v>
      </c>
      <c r="O162" s="243">
        <f t="shared" si="43"/>
        <v>100</v>
      </c>
      <c r="P162" s="243"/>
      <c r="Q162" s="243"/>
      <c r="R162" s="243">
        <f t="shared" si="52"/>
        <v>0</v>
      </c>
      <c r="S162" s="243">
        <f t="shared" si="52"/>
        <v>0</v>
      </c>
      <c r="T162" s="243">
        <f t="shared" si="52"/>
        <v>0</v>
      </c>
      <c r="U162" s="243">
        <f t="shared" si="52"/>
        <v>0</v>
      </c>
      <c r="V162" s="243">
        <f t="shared" si="52"/>
        <v>71250000</v>
      </c>
      <c r="W162" s="243">
        <f t="shared" si="52"/>
        <v>100</v>
      </c>
      <c r="X162" s="243">
        <f t="shared" si="52"/>
        <v>0</v>
      </c>
      <c r="Y162" s="51"/>
      <c r="Z162" s="45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s="25" customFormat="1" ht="13.5">
      <c r="A163" s="84"/>
      <c r="B163" s="247" t="s">
        <v>288</v>
      </c>
      <c r="C163" s="87" t="s">
        <v>298</v>
      </c>
      <c r="D163" s="84" t="s">
        <v>76</v>
      </c>
      <c r="E163" s="84" t="s">
        <v>306</v>
      </c>
      <c r="F163" s="84" t="s">
        <v>75</v>
      </c>
      <c r="G163" s="9" t="s">
        <v>28</v>
      </c>
      <c r="H163" s="5" t="s">
        <v>5</v>
      </c>
      <c r="I163" s="84"/>
      <c r="J163" s="248">
        <v>71250000</v>
      </c>
      <c r="K163" s="39"/>
      <c r="L163" s="39"/>
      <c r="M163" s="7" t="s">
        <v>221</v>
      </c>
      <c r="N163" s="88">
        <v>71250000</v>
      </c>
      <c r="O163" s="243">
        <f t="shared" si="43"/>
        <v>100</v>
      </c>
      <c r="P163" s="91" t="s">
        <v>141</v>
      </c>
      <c r="Q163" s="91" t="s">
        <v>141</v>
      </c>
      <c r="R163" s="88"/>
      <c r="S163" s="88"/>
      <c r="T163" s="88">
        <f t="shared" si="44"/>
        <v>0</v>
      </c>
      <c r="U163" s="39"/>
      <c r="V163" s="8">
        <f t="shared" si="45"/>
        <v>71250000</v>
      </c>
      <c r="W163" s="39">
        <f t="shared" si="46"/>
        <v>100</v>
      </c>
      <c r="X163" s="39"/>
      <c r="Y163" s="166"/>
      <c r="Z163" s="46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s="26" customFormat="1" ht="13.5" customHeight="1" thickBot="1">
      <c r="A164" s="100"/>
      <c r="B164" s="99" t="s">
        <v>7</v>
      </c>
      <c r="C164" s="100"/>
      <c r="D164" s="100"/>
      <c r="E164" s="172"/>
      <c r="F164" s="172"/>
      <c r="G164" s="172"/>
      <c r="H164" s="172"/>
      <c r="I164" s="172"/>
      <c r="J164" s="101">
        <f>J11</f>
        <v>11246303956</v>
      </c>
      <c r="K164" s="101"/>
      <c r="L164" s="101"/>
      <c r="M164" s="101"/>
      <c r="N164" s="101">
        <f aca="true" t="shared" si="53" ref="N164:W164">N11</f>
        <v>3553659311</v>
      </c>
      <c r="O164" s="101"/>
      <c r="P164" s="101"/>
      <c r="Q164" s="101"/>
      <c r="R164" s="101">
        <f t="shared" si="53"/>
        <v>953050443</v>
      </c>
      <c r="S164" s="101">
        <f t="shared" si="53"/>
        <v>672422499</v>
      </c>
      <c r="T164" s="101">
        <f t="shared" si="53"/>
        <v>1625472942</v>
      </c>
      <c r="U164" s="101"/>
      <c r="V164" s="101">
        <f>V11</f>
        <v>9620831014</v>
      </c>
      <c r="W164" s="101">
        <f t="shared" si="53"/>
        <v>85.54660314749188</v>
      </c>
      <c r="X164" s="101"/>
      <c r="Y164" s="52"/>
      <c r="Z164" s="46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s="26" customFormat="1" ht="13.5" customHeight="1" thickTop="1">
      <c r="A165" s="93" t="s">
        <v>154</v>
      </c>
      <c r="B165" s="93"/>
      <c r="C165" s="13"/>
      <c r="D165" s="13"/>
      <c r="E165" s="14"/>
      <c r="F165" s="14"/>
      <c r="G165" s="14"/>
      <c r="H165" s="14"/>
      <c r="I165" s="14"/>
      <c r="J165" s="15"/>
      <c r="K165" s="16"/>
      <c r="L165" s="16"/>
      <c r="M165" s="154"/>
      <c r="N165" s="113"/>
      <c r="O165" s="201"/>
      <c r="P165" s="18"/>
      <c r="Q165" s="18"/>
      <c r="R165" s="113"/>
      <c r="S165" s="280"/>
      <c r="T165" s="281"/>
      <c r="U165" s="201"/>
      <c r="V165" s="19"/>
      <c r="W165" s="192"/>
      <c r="X165" s="16"/>
      <c r="Y165" s="41"/>
      <c r="Z165" s="45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s="25" customFormat="1" ht="13.5">
      <c r="A166" s="21"/>
      <c r="B166" s="22" t="s">
        <v>22</v>
      </c>
      <c r="C166" s="22"/>
      <c r="D166" s="22"/>
      <c r="E166" s="22"/>
      <c r="F166" s="22"/>
      <c r="G166" s="22"/>
      <c r="H166" s="22"/>
      <c r="I166" s="22"/>
      <c r="J166" s="180"/>
      <c r="K166" s="21"/>
      <c r="L166" s="20"/>
      <c r="M166" s="154"/>
      <c r="N166" s="114"/>
      <c r="O166" s="21"/>
      <c r="P166" s="171"/>
      <c r="Q166" s="171"/>
      <c r="R166" s="361" t="s">
        <v>316</v>
      </c>
      <c r="S166" s="361"/>
      <c r="T166" s="361"/>
      <c r="U166" s="361"/>
      <c r="V166" s="361"/>
      <c r="W166" s="361"/>
      <c r="X166" s="21"/>
      <c r="Y166" s="38"/>
      <c r="Z166" s="46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s="25" customFormat="1" ht="13.5">
      <c r="A167" s="21"/>
      <c r="B167" s="22" t="s">
        <v>304</v>
      </c>
      <c r="C167" s="22"/>
      <c r="D167" s="22"/>
      <c r="E167" s="22"/>
      <c r="F167" s="22"/>
      <c r="G167" s="22"/>
      <c r="H167" s="22"/>
      <c r="I167" s="22"/>
      <c r="J167" s="22"/>
      <c r="K167" s="21"/>
      <c r="L167" s="20"/>
      <c r="M167" s="155"/>
      <c r="N167" s="115"/>
      <c r="O167" s="21"/>
      <c r="P167" s="171"/>
      <c r="Q167" s="171"/>
      <c r="R167" s="282"/>
      <c r="S167" s="282"/>
      <c r="T167" s="283"/>
      <c r="U167" s="21"/>
      <c r="V167" s="21"/>
      <c r="W167" s="21"/>
      <c r="X167" s="21"/>
      <c r="Y167" s="38"/>
      <c r="Z167" s="46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s="25" customFormat="1" ht="13.5">
      <c r="A168" s="21"/>
      <c r="B168" s="22" t="s">
        <v>8</v>
      </c>
      <c r="C168" s="22"/>
      <c r="D168" s="22"/>
      <c r="E168" s="22"/>
      <c r="F168" s="22"/>
      <c r="G168" s="22"/>
      <c r="H168" s="22"/>
      <c r="I168" s="22"/>
      <c r="J168" s="22"/>
      <c r="K168" s="21"/>
      <c r="L168" s="20"/>
      <c r="M168" s="155"/>
      <c r="N168" s="115"/>
      <c r="O168" s="21"/>
      <c r="P168" s="171"/>
      <c r="Q168" s="171"/>
      <c r="R168" s="361" t="s">
        <v>9</v>
      </c>
      <c r="S168" s="361"/>
      <c r="T168" s="361"/>
      <c r="U168" s="361"/>
      <c r="V168" s="361"/>
      <c r="W168" s="361"/>
      <c r="X168" s="21"/>
      <c r="Y168" s="38"/>
      <c r="Z168" s="46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s="25" customFormat="1" ht="13.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1"/>
      <c r="L169" s="20"/>
      <c r="M169" s="155"/>
      <c r="N169" s="115"/>
      <c r="O169" s="21"/>
      <c r="P169" s="171"/>
      <c r="Q169" s="171"/>
      <c r="R169" s="283"/>
      <c r="S169" s="283"/>
      <c r="T169" s="283"/>
      <c r="U169" s="21"/>
      <c r="V169" s="22"/>
      <c r="W169" s="21"/>
      <c r="X169" s="21"/>
      <c r="Y169" s="38"/>
      <c r="Z169" s="46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s="25" customFormat="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155"/>
      <c r="N170" s="116"/>
      <c r="O170" s="21"/>
      <c r="P170" s="171" t="s">
        <v>39</v>
      </c>
      <c r="Q170" s="171"/>
      <c r="R170" s="282"/>
      <c r="S170" s="282"/>
      <c r="T170" s="283"/>
      <c r="U170" s="21"/>
      <c r="V170" s="21"/>
      <c r="W170" s="21"/>
      <c r="X170" s="21"/>
      <c r="Y170" s="38"/>
      <c r="Z170" s="46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s="25" customFormat="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155"/>
      <c r="N171" s="115"/>
      <c r="O171" s="21"/>
      <c r="P171" s="171"/>
      <c r="Q171" s="171"/>
      <c r="R171" s="282"/>
      <c r="S171" s="282"/>
      <c r="T171" s="283"/>
      <c r="U171" s="21"/>
      <c r="V171" s="21"/>
      <c r="W171" s="21"/>
      <c r="X171" s="21"/>
      <c r="Y171" s="38"/>
      <c r="Z171" s="46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s="25" customFormat="1" ht="12" customHeight="1">
      <c r="A172" s="21"/>
      <c r="B172" s="92" t="s">
        <v>156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155"/>
      <c r="N172" s="115"/>
      <c r="O172" s="21"/>
      <c r="P172" s="171"/>
      <c r="Q172" s="171"/>
      <c r="R172" s="282"/>
      <c r="S172" s="282"/>
      <c r="T172" s="283"/>
      <c r="U172" s="21"/>
      <c r="V172" s="21"/>
      <c r="W172" s="21"/>
      <c r="X172" s="21"/>
      <c r="Y172" s="38"/>
      <c r="Z172" s="46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s="25" customFormat="1" ht="13.5">
      <c r="A173" s="21"/>
      <c r="B173" s="4" t="s">
        <v>157</v>
      </c>
      <c r="C173" s="92"/>
      <c r="D173" s="92"/>
      <c r="E173" s="92"/>
      <c r="F173" s="92"/>
      <c r="G173" s="92"/>
      <c r="H173" s="92"/>
      <c r="I173" s="92"/>
      <c r="J173" s="92"/>
      <c r="K173" s="21"/>
      <c r="L173" s="20"/>
      <c r="M173" s="155"/>
      <c r="N173" s="115"/>
      <c r="O173" s="21"/>
      <c r="P173" s="171"/>
      <c r="Q173" s="171"/>
      <c r="R173" s="359" t="s">
        <v>155</v>
      </c>
      <c r="S173" s="359"/>
      <c r="T173" s="359"/>
      <c r="U173" s="359"/>
      <c r="V173" s="359"/>
      <c r="W173" s="359"/>
      <c r="X173" s="23"/>
      <c r="Y173" s="38"/>
      <c r="Z173" s="46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s="25" customFormat="1" ht="12.75" customHeight="1">
      <c r="A174" s="21"/>
      <c r="C174" s="4"/>
      <c r="D174" s="4"/>
      <c r="E174" s="4"/>
      <c r="F174" s="4"/>
      <c r="G174" s="4"/>
      <c r="H174" s="4"/>
      <c r="I174" s="4"/>
      <c r="J174" s="4"/>
      <c r="K174" s="21"/>
      <c r="L174" s="20"/>
      <c r="M174" s="155"/>
      <c r="N174" s="115"/>
      <c r="O174" s="21"/>
      <c r="P174" s="171"/>
      <c r="Q174" s="171"/>
      <c r="R174" s="360" t="s">
        <v>153</v>
      </c>
      <c r="S174" s="360"/>
      <c r="T174" s="360"/>
      <c r="U174" s="360"/>
      <c r="V174" s="360"/>
      <c r="W174" s="360"/>
      <c r="X174" s="21"/>
      <c r="Y174" s="38"/>
      <c r="Z174" s="47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s="25" customFormat="1" ht="13.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20"/>
      <c r="M175" s="155"/>
      <c r="N175" s="115"/>
      <c r="O175" s="21"/>
      <c r="P175" s="171"/>
      <c r="Q175" s="171"/>
      <c r="R175" s="282"/>
      <c r="S175" s="282"/>
      <c r="T175" s="282"/>
      <c r="U175" s="21"/>
      <c r="V175" s="21"/>
      <c r="W175" s="21"/>
      <c r="X175" s="21"/>
      <c r="Y175" s="49"/>
      <c r="Z175" s="48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2:26" ht="11.25" customHeight="1">
      <c r="B176" s="4"/>
      <c r="C176" s="4"/>
      <c r="D176" s="4"/>
      <c r="E176" s="4"/>
      <c r="F176" s="4"/>
      <c r="G176" s="4"/>
      <c r="H176" s="4"/>
      <c r="I176" s="4"/>
      <c r="J176" s="4"/>
      <c r="L176" s="2"/>
      <c r="M176" s="156"/>
      <c r="N176" s="50"/>
      <c r="Y176" s="17"/>
      <c r="Z176" s="50"/>
    </row>
    <row r="177" spans="2:14" ht="13.5">
      <c r="B177" s="4"/>
      <c r="C177" s="4"/>
      <c r="D177" s="4"/>
      <c r="E177" s="4"/>
      <c r="F177" s="4"/>
      <c r="G177" s="4"/>
      <c r="H177" s="4"/>
      <c r="I177" s="4"/>
      <c r="J177" s="4"/>
      <c r="L177" s="2"/>
      <c r="M177" s="156"/>
      <c r="N177" s="50"/>
    </row>
    <row r="187" spans="1:35" s="117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57"/>
      <c r="O187" s="193"/>
      <c r="P187" s="25"/>
      <c r="Q187" s="25"/>
      <c r="U187" s="193"/>
      <c r="V187" s="3"/>
      <c r="W187" s="193"/>
      <c r="X187" s="3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s="117" customFormat="1" ht="13.5">
      <c r="A188" s="3"/>
      <c r="B188" s="30"/>
      <c r="C188" s="31"/>
      <c r="D188" s="2"/>
      <c r="E188" s="1"/>
      <c r="F188" s="1"/>
      <c r="G188" s="4"/>
      <c r="H188" s="4"/>
      <c r="I188" s="4"/>
      <c r="J188" s="4"/>
      <c r="K188" s="3"/>
      <c r="L188" s="2"/>
      <c r="M188" s="156"/>
      <c r="O188" s="193"/>
      <c r="P188" s="25"/>
      <c r="Q188" s="25"/>
      <c r="U188" s="193"/>
      <c r="V188" s="3"/>
      <c r="W188" s="193"/>
      <c r="X188" s="3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s="117" customFormat="1" ht="13.5">
      <c r="A189" s="3"/>
      <c r="B189" s="30"/>
      <c r="C189" s="31"/>
      <c r="D189" s="2"/>
      <c r="E189" s="1"/>
      <c r="F189" s="1"/>
      <c r="G189" s="4"/>
      <c r="H189" s="4"/>
      <c r="I189" s="4"/>
      <c r="J189" s="4"/>
      <c r="K189" s="3"/>
      <c r="L189" s="2"/>
      <c r="M189" s="156"/>
      <c r="O189" s="193"/>
      <c r="P189" s="25"/>
      <c r="Q189" s="25"/>
      <c r="U189" s="193"/>
      <c r="V189" s="3"/>
      <c r="W189" s="193"/>
      <c r="X189" s="3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s="117" customFormat="1" ht="13.5">
      <c r="A190" s="3"/>
      <c r="B190" s="30"/>
      <c r="C190" s="31"/>
      <c r="D190" s="2"/>
      <c r="E190" s="1"/>
      <c r="F190" s="1"/>
      <c r="G190" s="4"/>
      <c r="H190" s="4"/>
      <c r="I190" s="4"/>
      <c r="J190" s="4"/>
      <c r="K190" s="3"/>
      <c r="L190" s="2"/>
      <c r="M190" s="156"/>
      <c r="O190" s="193"/>
      <c r="P190" s="25"/>
      <c r="Q190" s="25"/>
      <c r="U190" s="193"/>
      <c r="V190" s="3"/>
      <c r="W190" s="193"/>
      <c r="X190" s="3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s="117" customFormat="1" ht="13.5">
      <c r="A191" s="3"/>
      <c r="B191" s="30"/>
      <c r="C191" s="1"/>
      <c r="D191" s="2"/>
      <c r="E191" s="1"/>
      <c r="F191" s="1"/>
      <c r="G191" s="4"/>
      <c r="H191" s="4"/>
      <c r="I191" s="4"/>
      <c r="J191" s="4"/>
      <c r="K191" s="3"/>
      <c r="L191" s="2"/>
      <c r="M191" s="156"/>
      <c r="O191" s="193"/>
      <c r="P191" s="25"/>
      <c r="Q191" s="25"/>
      <c r="U191" s="193"/>
      <c r="V191" s="3"/>
      <c r="W191" s="193"/>
      <c r="X191" s="3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s="117" customFormat="1" ht="13.5">
      <c r="A192" s="3"/>
      <c r="B192" s="30"/>
      <c r="C192" s="1"/>
      <c r="D192" s="2"/>
      <c r="E192" s="1"/>
      <c r="F192" s="1"/>
      <c r="G192" s="4"/>
      <c r="H192" s="4"/>
      <c r="I192" s="4"/>
      <c r="J192" s="4"/>
      <c r="K192" s="3"/>
      <c r="L192" s="2"/>
      <c r="M192" s="156"/>
      <c r="O192" s="193"/>
      <c r="P192" s="25"/>
      <c r="Q192" s="25"/>
      <c r="U192" s="193"/>
      <c r="V192" s="3"/>
      <c r="W192" s="193"/>
      <c r="X192" s="3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s="117" customFormat="1" ht="13.5">
      <c r="A193" s="3"/>
      <c r="B193" s="30"/>
      <c r="C193" s="1"/>
      <c r="D193" s="2"/>
      <c r="E193" s="1"/>
      <c r="F193" s="1"/>
      <c r="G193" s="4"/>
      <c r="H193" s="4"/>
      <c r="I193" s="4"/>
      <c r="J193" s="4"/>
      <c r="K193" s="3"/>
      <c r="L193" s="2"/>
      <c r="M193" s="156"/>
      <c r="O193" s="193"/>
      <c r="P193" s="25"/>
      <c r="Q193" s="25"/>
      <c r="U193" s="193"/>
      <c r="V193" s="3"/>
      <c r="W193" s="193"/>
      <c r="X193" s="3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s="117" customFormat="1" ht="13.5">
      <c r="A194" s="3"/>
      <c r="B194" s="30"/>
      <c r="C194" s="1"/>
      <c r="D194" s="2"/>
      <c r="E194" s="1"/>
      <c r="F194" s="1"/>
      <c r="G194" s="4"/>
      <c r="H194" s="4"/>
      <c r="I194" s="4"/>
      <c r="J194" s="4"/>
      <c r="K194" s="3"/>
      <c r="L194" s="2"/>
      <c r="M194" s="156"/>
      <c r="O194" s="193"/>
      <c r="P194" s="25"/>
      <c r="Q194" s="25"/>
      <c r="U194" s="193"/>
      <c r="V194" s="3"/>
      <c r="W194" s="193"/>
      <c r="X194" s="3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s="117" customFormat="1" ht="13.5">
      <c r="A195" s="3"/>
      <c r="B195" s="30"/>
      <c r="C195" s="31"/>
      <c r="D195" s="2"/>
      <c r="E195" s="1"/>
      <c r="F195" s="1"/>
      <c r="G195" s="4"/>
      <c r="H195" s="4"/>
      <c r="I195" s="4"/>
      <c r="J195" s="4"/>
      <c r="K195" s="3"/>
      <c r="L195" s="2"/>
      <c r="M195" s="156"/>
      <c r="O195" s="193"/>
      <c r="P195" s="25"/>
      <c r="Q195" s="25"/>
      <c r="U195" s="193"/>
      <c r="V195" s="3"/>
      <c r="W195" s="193"/>
      <c r="X195" s="3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s="117" customFormat="1" ht="13.5">
      <c r="A196" s="3"/>
      <c r="B196" s="32"/>
      <c r="C196" s="33"/>
      <c r="D196" s="2"/>
      <c r="E196" s="1"/>
      <c r="F196" s="1"/>
      <c r="G196" s="4"/>
      <c r="H196" s="4"/>
      <c r="I196" s="4"/>
      <c r="J196" s="4"/>
      <c r="K196" s="3"/>
      <c r="L196" s="2"/>
      <c r="M196" s="156"/>
      <c r="O196" s="193"/>
      <c r="P196" s="25"/>
      <c r="Q196" s="25"/>
      <c r="U196" s="193"/>
      <c r="V196" s="3"/>
      <c r="W196" s="193"/>
      <c r="X196" s="3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s="117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56"/>
      <c r="O197" s="193"/>
      <c r="P197" s="25"/>
      <c r="Q197" s="25"/>
      <c r="U197" s="193"/>
      <c r="V197" s="3"/>
      <c r="W197" s="193"/>
      <c r="X197" s="3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s="117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56"/>
      <c r="O198" s="193"/>
      <c r="P198" s="25"/>
      <c r="Q198" s="25"/>
      <c r="U198" s="193"/>
      <c r="V198" s="3"/>
      <c r="W198" s="193"/>
      <c r="X198" s="3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s="117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56"/>
      <c r="O199" s="193"/>
      <c r="P199" s="25"/>
      <c r="Q199" s="25"/>
      <c r="U199" s="193"/>
      <c r="V199" s="3"/>
      <c r="W199" s="193"/>
      <c r="X199" s="3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s="117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56"/>
      <c r="O200" s="193"/>
      <c r="P200" s="25"/>
      <c r="Q200" s="25"/>
      <c r="U200" s="193"/>
      <c r="V200" s="3"/>
      <c r="W200" s="193"/>
      <c r="X200" s="3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</row>
    <row r="201" spans="1:35" s="117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56"/>
      <c r="O201" s="193"/>
      <c r="P201" s="25"/>
      <c r="Q201" s="25"/>
      <c r="U201" s="193"/>
      <c r="V201" s="3"/>
      <c r="W201" s="193"/>
      <c r="X201" s="3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s="117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56"/>
      <c r="O202" s="193"/>
      <c r="P202" s="25"/>
      <c r="Q202" s="25"/>
      <c r="U202" s="193"/>
      <c r="V202" s="3"/>
      <c r="W202" s="193"/>
      <c r="X202" s="3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s="117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56"/>
      <c r="O203" s="193"/>
      <c r="P203" s="25"/>
      <c r="Q203" s="25"/>
      <c r="U203" s="193"/>
      <c r="V203" s="3"/>
      <c r="W203" s="193"/>
      <c r="X203" s="3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s="117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56"/>
      <c r="O204" s="193"/>
      <c r="P204" s="25"/>
      <c r="Q204" s="25"/>
      <c r="U204" s="193"/>
      <c r="V204" s="3"/>
      <c r="W204" s="193"/>
      <c r="X204" s="3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s="117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56"/>
      <c r="O205" s="193"/>
      <c r="P205" s="25"/>
      <c r="Q205" s="25"/>
      <c r="U205" s="193"/>
      <c r="V205" s="3"/>
      <c r="W205" s="193"/>
      <c r="X205" s="3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s="117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56"/>
      <c r="O206" s="193"/>
      <c r="P206" s="25"/>
      <c r="Q206" s="25"/>
      <c r="U206" s="193"/>
      <c r="V206" s="3"/>
      <c r="W206" s="193"/>
      <c r="X206" s="3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s="117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56"/>
      <c r="O207" s="193"/>
      <c r="P207" s="25"/>
      <c r="Q207" s="25"/>
      <c r="U207" s="193"/>
      <c r="V207" s="3"/>
      <c r="W207" s="193"/>
      <c r="X207" s="3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s="117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56"/>
      <c r="O208" s="193"/>
      <c r="P208" s="25"/>
      <c r="Q208" s="25"/>
      <c r="U208" s="193"/>
      <c r="V208" s="3"/>
      <c r="W208" s="193"/>
      <c r="X208" s="3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s="117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56"/>
      <c r="O209" s="193"/>
      <c r="P209" s="25"/>
      <c r="Q209" s="25"/>
      <c r="U209" s="193"/>
      <c r="V209" s="3"/>
      <c r="W209" s="193"/>
      <c r="X209" s="3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s="117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56"/>
      <c r="O210" s="193"/>
      <c r="P210" s="25"/>
      <c r="Q210" s="25"/>
      <c r="U210" s="193"/>
      <c r="V210" s="3"/>
      <c r="W210" s="193"/>
      <c r="X210" s="3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s="117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56"/>
      <c r="O211" s="193"/>
      <c r="P211" s="25"/>
      <c r="Q211" s="25"/>
      <c r="U211" s="193"/>
      <c r="V211" s="3"/>
      <c r="W211" s="193"/>
      <c r="X211" s="3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s="117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56"/>
      <c r="O212" s="193"/>
      <c r="P212" s="25"/>
      <c r="Q212" s="25"/>
      <c r="U212" s="193"/>
      <c r="V212" s="3"/>
      <c r="W212" s="193"/>
      <c r="X212" s="3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s="117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56"/>
      <c r="O213" s="193"/>
      <c r="P213" s="25"/>
      <c r="Q213" s="25"/>
      <c r="U213" s="193"/>
      <c r="V213" s="3"/>
      <c r="W213" s="193"/>
      <c r="X213" s="3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s="117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56"/>
      <c r="O214" s="193"/>
      <c r="P214" s="25"/>
      <c r="Q214" s="25"/>
      <c r="U214" s="193"/>
      <c r="V214" s="3"/>
      <c r="W214" s="193"/>
      <c r="X214" s="3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s="117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56"/>
      <c r="O215" s="193"/>
      <c r="P215" s="25"/>
      <c r="Q215" s="25"/>
      <c r="U215" s="193"/>
      <c r="V215" s="3"/>
      <c r="W215" s="193"/>
      <c r="X215" s="3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s="117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56"/>
      <c r="O216" s="193"/>
      <c r="P216" s="25"/>
      <c r="Q216" s="25"/>
      <c r="U216" s="193"/>
      <c r="V216" s="3"/>
      <c r="W216" s="193"/>
      <c r="X216" s="3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s="117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56"/>
      <c r="O217" s="193"/>
      <c r="P217" s="25"/>
      <c r="Q217" s="25"/>
      <c r="U217" s="193"/>
      <c r="V217" s="3"/>
      <c r="W217" s="193"/>
      <c r="X217" s="3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</row>
    <row r="218" spans="1:35" s="117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56"/>
      <c r="O218" s="193"/>
      <c r="P218" s="25"/>
      <c r="Q218" s="25"/>
      <c r="U218" s="193"/>
      <c r="V218" s="3"/>
      <c r="W218" s="193"/>
      <c r="X218" s="3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s="117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56"/>
      <c r="O219" s="193"/>
      <c r="P219" s="25"/>
      <c r="Q219" s="25"/>
      <c r="U219" s="193"/>
      <c r="V219" s="3"/>
      <c r="W219" s="193"/>
      <c r="X219" s="3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s="117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56"/>
      <c r="O220" s="193"/>
      <c r="P220" s="25"/>
      <c r="Q220" s="25"/>
      <c r="U220" s="193"/>
      <c r="V220" s="3"/>
      <c r="W220" s="193"/>
      <c r="X220" s="3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7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56"/>
      <c r="O221" s="193"/>
      <c r="P221" s="25"/>
      <c r="Q221" s="25"/>
      <c r="U221" s="193"/>
      <c r="V221" s="3"/>
      <c r="W221" s="193"/>
      <c r="X221" s="3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s="117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56"/>
      <c r="O222" s="193"/>
      <c r="P222" s="25"/>
      <c r="Q222" s="25"/>
      <c r="U222" s="193"/>
      <c r="V222" s="3"/>
      <c r="W222" s="193"/>
      <c r="X222" s="3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s="117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56"/>
      <c r="O223" s="193"/>
      <c r="P223" s="25"/>
      <c r="Q223" s="25"/>
      <c r="U223" s="193"/>
      <c r="V223" s="3"/>
      <c r="W223" s="193"/>
      <c r="X223" s="3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s="117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56"/>
      <c r="O224" s="193"/>
      <c r="P224" s="25"/>
      <c r="Q224" s="25"/>
      <c r="U224" s="193"/>
      <c r="V224" s="3"/>
      <c r="W224" s="193"/>
      <c r="X224" s="3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s="117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56"/>
      <c r="O225" s="193"/>
      <c r="P225" s="25"/>
      <c r="Q225" s="25"/>
      <c r="U225" s="193"/>
      <c r="V225" s="3"/>
      <c r="W225" s="193"/>
      <c r="X225" s="3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s="117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56"/>
      <c r="O226" s="193"/>
      <c r="P226" s="25"/>
      <c r="Q226" s="25"/>
      <c r="U226" s="193"/>
      <c r="V226" s="3"/>
      <c r="W226" s="193"/>
      <c r="X226" s="3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s="117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56"/>
      <c r="O227" s="193"/>
      <c r="P227" s="25"/>
      <c r="Q227" s="25"/>
      <c r="U227" s="193"/>
      <c r="V227" s="3"/>
      <c r="W227" s="193"/>
      <c r="X227" s="3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</row>
    <row r="228" spans="1:35" s="117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56"/>
      <c r="O228" s="193"/>
      <c r="P228" s="25"/>
      <c r="Q228" s="25"/>
      <c r="U228" s="193"/>
      <c r="V228" s="3"/>
      <c r="W228" s="193"/>
      <c r="X228" s="3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s="117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2"/>
      <c r="M229" s="156"/>
      <c r="O229" s="193"/>
      <c r="P229" s="25"/>
      <c r="Q229" s="25"/>
      <c r="U229" s="193"/>
      <c r="V229" s="3"/>
      <c r="W229" s="193"/>
      <c r="X229" s="3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s="117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56"/>
      <c r="O230" s="193"/>
      <c r="P230" s="25"/>
      <c r="Q230" s="25"/>
      <c r="U230" s="193"/>
      <c r="V230" s="3"/>
      <c r="W230" s="193"/>
      <c r="X230" s="3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s="117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56"/>
      <c r="O231" s="193"/>
      <c r="P231" s="25"/>
      <c r="Q231" s="25"/>
      <c r="U231" s="193"/>
      <c r="V231" s="3"/>
      <c r="W231" s="193"/>
      <c r="X231" s="3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s="117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56"/>
      <c r="O232" s="193"/>
      <c r="P232" s="25"/>
      <c r="Q232" s="25"/>
      <c r="U232" s="193"/>
      <c r="V232" s="3"/>
      <c r="W232" s="193"/>
      <c r="X232" s="3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s="117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56"/>
      <c r="O233" s="193"/>
      <c r="P233" s="25"/>
      <c r="Q233" s="25"/>
      <c r="U233" s="193"/>
      <c r="V233" s="3"/>
      <c r="W233" s="193"/>
      <c r="X233" s="3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s="117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56"/>
      <c r="O234" s="193"/>
      <c r="P234" s="25"/>
      <c r="Q234" s="25"/>
      <c r="U234" s="193"/>
      <c r="V234" s="3"/>
      <c r="W234" s="193"/>
      <c r="X234" s="3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2:13" ht="13.5">
      <c r="L235" s="2"/>
      <c r="M235" s="156"/>
    </row>
  </sheetData>
  <sheetProtection/>
  <mergeCells count="107">
    <mergeCell ref="R166:W166"/>
    <mergeCell ref="R168:W168"/>
    <mergeCell ref="R173:W173"/>
    <mergeCell ref="R174:W17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R7:R9"/>
    <mergeCell ref="S7:S9"/>
    <mergeCell ref="T7:T9"/>
    <mergeCell ref="U7:U9"/>
    <mergeCell ref="A25:A26"/>
    <mergeCell ref="B25:B26"/>
    <mergeCell ref="C25:C26"/>
    <mergeCell ref="D25:D26"/>
    <mergeCell ref="E25:E26"/>
    <mergeCell ref="F25:F26"/>
    <mergeCell ref="R6:U6"/>
    <mergeCell ref="V6:V9"/>
    <mergeCell ref="W6:W9"/>
    <mergeCell ref="X6:X9"/>
    <mergeCell ref="G7:G9"/>
    <mergeCell ref="H7:H9"/>
    <mergeCell ref="I7:I9"/>
    <mergeCell ref="N7:N9"/>
    <mergeCell ref="O7:O9"/>
    <mergeCell ref="P7:P9"/>
    <mergeCell ref="J6:J9"/>
    <mergeCell ref="K6:K9"/>
    <mergeCell ref="L6:L9"/>
    <mergeCell ref="M6:M9"/>
    <mergeCell ref="N6:O6"/>
    <mergeCell ref="P6:Q6"/>
    <mergeCell ref="Q7:Q9"/>
    <mergeCell ref="A1:X1"/>
    <mergeCell ref="A2:X2"/>
    <mergeCell ref="A3:X3"/>
    <mergeCell ref="A6:A9"/>
    <mergeCell ref="B6:B9"/>
    <mergeCell ref="C6:C9"/>
    <mergeCell ref="D6:D9"/>
    <mergeCell ref="E6:E9"/>
    <mergeCell ref="F6:F9"/>
    <mergeCell ref="G6:I6"/>
  </mergeCells>
  <printOptions/>
  <pageMargins left="0.7874015748031497" right="1.1811023622047245" top="0" bottom="0" header="0.1968503937007874" footer="0.31496062992125984"/>
  <pageSetup horizontalDpi="300" verticalDpi="3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5"/>
  <sheetViews>
    <sheetView zoomScalePageLayoutView="0" workbookViewId="0" topLeftCell="A1">
      <pane xSplit="2" ySplit="10" topLeftCell="C1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47" sqref="G147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6.421875" style="3" customWidth="1"/>
    <col min="4" max="4" width="4.421875" style="3" customWidth="1"/>
    <col min="5" max="5" width="3.7109375" style="3" customWidth="1"/>
    <col min="6" max="6" width="4.8515625" style="3" customWidth="1"/>
    <col min="7" max="7" width="3.7109375" style="3" customWidth="1"/>
    <col min="8" max="8" width="3.8515625" style="3" customWidth="1"/>
    <col min="9" max="9" width="3.7109375" style="3" hidden="1" customWidth="1"/>
    <col min="10" max="10" width="13.57421875" style="3" customWidth="1"/>
    <col min="11" max="11" width="4.7109375" style="3" customWidth="1"/>
    <col min="12" max="12" width="3.28125" style="3" customWidth="1"/>
    <col min="13" max="13" width="7.57421875" style="157" customWidth="1"/>
    <col min="14" max="14" width="12.140625" style="117" customWidth="1"/>
    <col min="15" max="15" width="4.57421875" style="193" customWidth="1"/>
    <col min="16" max="16" width="5.421875" style="25" customWidth="1"/>
    <col min="17" max="17" width="5.28125" style="25" customWidth="1"/>
    <col min="18" max="18" width="11.421875" style="117" customWidth="1"/>
    <col min="19" max="19" width="12.140625" style="117" customWidth="1"/>
    <col min="20" max="20" width="12.7109375" style="117" customWidth="1"/>
    <col min="21" max="21" width="6.28125" style="193" customWidth="1"/>
    <col min="22" max="22" width="12.7109375" style="3" customWidth="1"/>
    <col min="23" max="23" width="8.28125" style="193" customWidth="1"/>
    <col min="24" max="24" width="4.28125" style="3" customWidth="1"/>
    <col min="25" max="25" width="14.28125" style="40" customWidth="1"/>
    <col min="26" max="26" width="10.28125" style="40" customWidth="1"/>
    <col min="27" max="27" width="12.421875" style="40" customWidth="1"/>
    <col min="28" max="30" width="9.140625" style="40" customWidth="1"/>
    <col min="31" max="31" width="10.421875" style="40" customWidth="1"/>
    <col min="32" max="35" width="9.140625" style="40" customWidth="1"/>
    <col min="36" max="16384" width="9.140625" style="3" customWidth="1"/>
  </cols>
  <sheetData>
    <row r="1" spans="1:35" s="24" customFormat="1" ht="15.75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51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4" s="24" customFormat="1" ht="15.75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5" s="24" customFormat="1" ht="15.75">
      <c r="A3" s="322" t="s">
        <v>315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51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4" customFormat="1" ht="15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5"/>
      <c r="P4" s="178"/>
      <c r="Q4" s="178"/>
      <c r="R4" s="278"/>
      <c r="S4" s="278"/>
      <c r="T4" s="278"/>
      <c r="U4" s="185"/>
      <c r="V4" s="178"/>
      <c r="W4" s="185"/>
      <c r="X4" s="178"/>
      <c r="Y4" s="151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4" customFormat="1" ht="16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2"/>
      <c r="O5" s="186"/>
      <c r="P5" s="152"/>
      <c r="Q5" s="152"/>
      <c r="R5" s="278"/>
      <c r="S5" s="278"/>
      <c r="T5" s="278"/>
      <c r="U5" s="185"/>
      <c r="V5" s="178"/>
      <c r="W5" s="186"/>
      <c r="X5" s="178"/>
      <c r="Y5" s="151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5" customFormat="1" ht="13.5" customHeight="1">
      <c r="A6" s="323" t="s">
        <v>0</v>
      </c>
      <c r="B6" s="323" t="s">
        <v>27</v>
      </c>
      <c r="C6" s="323" t="s">
        <v>10</v>
      </c>
      <c r="D6" s="323" t="s">
        <v>29</v>
      </c>
      <c r="E6" s="323" t="s">
        <v>36</v>
      </c>
      <c r="F6" s="323" t="s">
        <v>21</v>
      </c>
      <c r="G6" s="326" t="s">
        <v>1</v>
      </c>
      <c r="H6" s="327"/>
      <c r="I6" s="328"/>
      <c r="J6" s="323" t="s">
        <v>158</v>
      </c>
      <c r="K6" s="323" t="s">
        <v>300</v>
      </c>
      <c r="L6" s="323" t="s">
        <v>14</v>
      </c>
      <c r="M6" s="323" t="s">
        <v>26</v>
      </c>
      <c r="N6" s="329" t="s">
        <v>2</v>
      </c>
      <c r="O6" s="330"/>
      <c r="P6" s="331" t="s">
        <v>38</v>
      </c>
      <c r="Q6" s="332"/>
      <c r="R6" s="331" t="s">
        <v>32</v>
      </c>
      <c r="S6" s="334"/>
      <c r="T6" s="334"/>
      <c r="U6" s="334"/>
      <c r="V6" s="323" t="s">
        <v>35</v>
      </c>
      <c r="W6" s="335" t="s">
        <v>33</v>
      </c>
      <c r="X6" s="323" t="s">
        <v>34</v>
      </c>
      <c r="Y6" s="153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25" customFormat="1" ht="13.5">
      <c r="A7" s="324"/>
      <c r="B7" s="324"/>
      <c r="C7" s="324"/>
      <c r="D7" s="324"/>
      <c r="E7" s="324"/>
      <c r="F7" s="324"/>
      <c r="G7" s="333" t="s">
        <v>11</v>
      </c>
      <c r="H7" s="333" t="s">
        <v>12</v>
      </c>
      <c r="I7" s="333" t="s">
        <v>13</v>
      </c>
      <c r="J7" s="324"/>
      <c r="K7" s="324"/>
      <c r="L7" s="324"/>
      <c r="M7" s="324"/>
      <c r="N7" s="338" t="s">
        <v>30</v>
      </c>
      <c r="O7" s="341" t="s">
        <v>31</v>
      </c>
      <c r="P7" s="333" t="s">
        <v>3</v>
      </c>
      <c r="Q7" s="333" t="s">
        <v>23</v>
      </c>
      <c r="R7" s="342" t="s">
        <v>24</v>
      </c>
      <c r="S7" s="342" t="s">
        <v>25</v>
      </c>
      <c r="T7" s="342" t="s">
        <v>15</v>
      </c>
      <c r="U7" s="345" t="s">
        <v>4</v>
      </c>
      <c r="V7" s="324"/>
      <c r="W7" s="336"/>
      <c r="X7" s="324"/>
      <c r="Y7" s="153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25" customFormat="1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39"/>
      <c r="O8" s="336"/>
      <c r="P8" s="324"/>
      <c r="Q8" s="324"/>
      <c r="R8" s="343"/>
      <c r="S8" s="343"/>
      <c r="T8" s="343"/>
      <c r="U8" s="346"/>
      <c r="V8" s="324"/>
      <c r="W8" s="336"/>
      <c r="X8" s="324"/>
      <c r="Y8" s="153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5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40"/>
      <c r="O9" s="337"/>
      <c r="P9" s="325"/>
      <c r="Q9" s="325"/>
      <c r="R9" s="344"/>
      <c r="S9" s="344"/>
      <c r="T9" s="344"/>
      <c r="U9" s="347"/>
      <c r="V9" s="325"/>
      <c r="W9" s="337"/>
      <c r="X9" s="325"/>
      <c r="Y9" s="153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27" customFormat="1" ht="13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/>
      <c r="K10" s="167">
        <v>11</v>
      </c>
      <c r="L10" s="167">
        <v>12</v>
      </c>
      <c r="M10" s="223">
        <v>13</v>
      </c>
      <c r="N10" s="224">
        <v>14</v>
      </c>
      <c r="O10" s="225">
        <v>15</v>
      </c>
      <c r="P10" s="167">
        <v>16</v>
      </c>
      <c r="Q10" s="167">
        <v>17</v>
      </c>
      <c r="R10" s="224">
        <v>18</v>
      </c>
      <c r="S10" s="224">
        <v>19</v>
      </c>
      <c r="T10" s="224">
        <v>20</v>
      </c>
      <c r="U10" s="225">
        <v>21</v>
      </c>
      <c r="V10" s="167">
        <v>22</v>
      </c>
      <c r="W10" s="225">
        <v>23</v>
      </c>
      <c r="X10" s="167">
        <v>24</v>
      </c>
      <c r="Y10" s="226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25" s="43" customFormat="1" ht="13.5" customHeight="1">
      <c r="A11" s="228" t="s">
        <v>18</v>
      </c>
      <c r="B11" s="229" t="s">
        <v>163</v>
      </c>
      <c r="C11" s="228"/>
      <c r="D11" s="228"/>
      <c r="E11" s="228"/>
      <c r="F11" s="228"/>
      <c r="G11" s="228"/>
      <c r="H11" s="228"/>
      <c r="I11" s="228"/>
      <c r="J11" s="230">
        <f>J12+J24</f>
        <v>11246303956</v>
      </c>
      <c r="K11" s="230"/>
      <c r="L11" s="230"/>
      <c r="M11" s="230"/>
      <c r="N11" s="230">
        <f>N12+N24</f>
        <v>4400953297</v>
      </c>
      <c r="O11" s="231">
        <f>N11/J11*100</f>
        <v>39.13244132666407</v>
      </c>
      <c r="P11" s="230"/>
      <c r="Q11" s="230"/>
      <c r="R11" s="230">
        <f>R12+R24</f>
        <v>811974183</v>
      </c>
      <c r="S11" s="230">
        <f>S12+S24</f>
        <v>1625472942</v>
      </c>
      <c r="T11" s="230">
        <f>T12+T24</f>
        <v>2437447125</v>
      </c>
      <c r="U11" s="231">
        <f>T11/J11*100</f>
        <v>21.67331715856391</v>
      </c>
      <c r="V11" s="230">
        <f>V12+V24</f>
        <v>8808856831</v>
      </c>
      <c r="W11" s="231">
        <f>V11/J11*100</f>
        <v>78.3266828414361</v>
      </c>
      <c r="X11" s="230"/>
      <c r="Y11" s="226"/>
    </row>
    <row r="12" spans="1:25" s="43" customFormat="1" ht="13.5" customHeight="1">
      <c r="A12" s="232"/>
      <c r="B12" s="233" t="s">
        <v>164</v>
      </c>
      <c r="C12" s="234"/>
      <c r="D12" s="234"/>
      <c r="E12" s="234"/>
      <c r="F12" s="234"/>
      <c r="G12" s="232"/>
      <c r="H12" s="232"/>
      <c r="I12" s="232"/>
      <c r="J12" s="235">
        <f>J13</f>
        <v>767318206</v>
      </c>
      <c r="K12" s="235"/>
      <c r="L12" s="235"/>
      <c r="M12" s="235"/>
      <c r="N12" s="235">
        <f>N13</f>
        <v>264346497</v>
      </c>
      <c r="O12" s="236">
        <f aca="true" t="shared" si="0" ref="O12:O23">N12/J12*100</f>
        <v>34.45070049595565</v>
      </c>
      <c r="P12" s="235"/>
      <c r="Q12" s="235"/>
      <c r="R12" s="235">
        <f>R13</f>
        <v>61994632</v>
      </c>
      <c r="S12" s="235">
        <f>S13</f>
        <v>185983896</v>
      </c>
      <c r="T12" s="235">
        <f>T13</f>
        <v>247978528</v>
      </c>
      <c r="U12" s="236">
        <f>T12/J12*100</f>
        <v>32.31756083212237</v>
      </c>
      <c r="V12" s="235">
        <f>V13</f>
        <v>519339678</v>
      </c>
      <c r="W12" s="236">
        <f aca="true" t="shared" si="1" ref="W12:W23">V12/J12*100</f>
        <v>67.68243916787765</v>
      </c>
      <c r="X12" s="235"/>
      <c r="Y12" s="226"/>
    </row>
    <row r="13" spans="1:25" s="43" customFormat="1" ht="13.5" customHeight="1">
      <c r="A13" s="237"/>
      <c r="B13" s="238" t="s">
        <v>83</v>
      </c>
      <c r="C13" s="237"/>
      <c r="D13" s="237"/>
      <c r="E13" s="237"/>
      <c r="F13" s="237"/>
      <c r="G13" s="237"/>
      <c r="H13" s="237"/>
      <c r="I13" s="237"/>
      <c r="J13" s="239">
        <f>J14+J22</f>
        <v>767318206</v>
      </c>
      <c r="K13" s="239"/>
      <c r="L13" s="239"/>
      <c r="M13" s="239"/>
      <c r="N13" s="239">
        <f>N14+N22</f>
        <v>264346497</v>
      </c>
      <c r="O13" s="240">
        <f t="shared" si="0"/>
        <v>34.45070049595565</v>
      </c>
      <c r="P13" s="239"/>
      <c r="Q13" s="239"/>
      <c r="R13" s="239">
        <f>R14+R22</f>
        <v>61994632</v>
      </c>
      <c r="S13" s="239">
        <f>S14+S22</f>
        <v>185983896</v>
      </c>
      <c r="T13" s="239">
        <f>T14+T22</f>
        <v>247978528</v>
      </c>
      <c r="U13" s="240">
        <f>T13/J13*100</f>
        <v>32.31756083212237</v>
      </c>
      <c r="V13" s="239">
        <f>V14+V22</f>
        <v>519339678</v>
      </c>
      <c r="W13" s="240">
        <f t="shared" si="1"/>
        <v>67.68243916787765</v>
      </c>
      <c r="X13" s="239"/>
      <c r="Y13" s="226"/>
    </row>
    <row r="14" spans="1:25" s="43" customFormat="1" ht="13.5" customHeight="1">
      <c r="A14" s="241"/>
      <c r="B14" s="242" t="s">
        <v>165</v>
      </c>
      <c r="C14" s="276" t="s">
        <v>301</v>
      </c>
      <c r="D14" s="241" t="s">
        <v>175</v>
      </c>
      <c r="E14" s="241">
        <v>12</v>
      </c>
      <c r="F14" s="241" t="s">
        <v>176</v>
      </c>
      <c r="G14" s="10" t="s">
        <v>28</v>
      </c>
      <c r="H14" s="102" t="s">
        <v>5</v>
      </c>
      <c r="I14" s="241"/>
      <c r="J14" s="243">
        <f>SUM(J15:J21)</f>
        <v>167318206</v>
      </c>
      <c r="K14" s="241"/>
      <c r="L14" s="241"/>
      <c r="M14" s="105"/>
      <c r="N14" s="244">
        <f>SUM(N15:N21)</f>
        <v>64346497</v>
      </c>
      <c r="O14" s="245">
        <f t="shared" si="0"/>
        <v>38.45755852773129</v>
      </c>
      <c r="P14" s="170" t="s">
        <v>139</v>
      </c>
      <c r="Q14" s="170" t="s">
        <v>318</v>
      </c>
      <c r="R14" s="244">
        <f>SUM(R15:R21)</f>
        <v>11994632</v>
      </c>
      <c r="S14" s="244">
        <f>SUM(S15:S21)</f>
        <v>35983896</v>
      </c>
      <c r="T14" s="244">
        <f>SUM(T15:T21)</f>
        <v>47978528</v>
      </c>
      <c r="U14" s="245">
        <f>T14/J14*100</f>
        <v>28.675019381931456</v>
      </c>
      <c r="V14" s="244">
        <f>SUM(V15:V21)</f>
        <v>119339678</v>
      </c>
      <c r="W14" s="245">
        <f t="shared" si="1"/>
        <v>71.32498061806855</v>
      </c>
      <c r="X14" s="244"/>
      <c r="Y14" s="226"/>
    </row>
    <row r="15" spans="1:25" s="44" customFormat="1" ht="13.5" customHeight="1">
      <c r="A15" s="246"/>
      <c r="B15" s="247" t="s">
        <v>166</v>
      </c>
      <c r="C15" s="277" t="s">
        <v>134</v>
      </c>
      <c r="D15" s="246" t="s">
        <v>175</v>
      </c>
      <c r="E15" s="246">
        <v>12</v>
      </c>
      <c r="F15" s="246" t="s">
        <v>176</v>
      </c>
      <c r="G15" s="9" t="s">
        <v>28</v>
      </c>
      <c r="H15" s="5" t="s">
        <v>5</v>
      </c>
      <c r="I15" s="246"/>
      <c r="J15" s="248">
        <v>54600000</v>
      </c>
      <c r="K15" s="246"/>
      <c r="L15" s="246"/>
      <c r="M15" s="7" t="s">
        <v>78</v>
      </c>
      <c r="N15" s="249">
        <f>3900000+3900000+3900000+7800000</f>
        <v>19500000</v>
      </c>
      <c r="O15" s="250">
        <f>N15/J15*100</f>
        <v>35.714285714285715</v>
      </c>
      <c r="P15" s="91" t="s">
        <v>139</v>
      </c>
      <c r="Q15" s="91" t="s">
        <v>318</v>
      </c>
      <c r="R15" s="249">
        <v>3900000</v>
      </c>
      <c r="S15" s="249">
        <v>11700000</v>
      </c>
      <c r="T15" s="249">
        <f aca="true" t="shared" si="2" ref="T15:T21">R15+S15</f>
        <v>15600000</v>
      </c>
      <c r="U15" s="250">
        <f>T15/J15*100</f>
        <v>28.57142857142857</v>
      </c>
      <c r="V15" s="251">
        <f>J15-T15</f>
        <v>39000000</v>
      </c>
      <c r="W15" s="250">
        <f t="shared" si="1"/>
        <v>71.42857142857143</v>
      </c>
      <c r="X15" s="246"/>
      <c r="Y15" s="252"/>
    </row>
    <row r="16" spans="1:25" s="44" customFormat="1" ht="13.5" customHeight="1">
      <c r="A16" s="246"/>
      <c r="B16" s="247" t="s">
        <v>167</v>
      </c>
      <c r="C16" s="277" t="s">
        <v>108</v>
      </c>
      <c r="D16" s="246" t="s">
        <v>175</v>
      </c>
      <c r="E16" s="246">
        <v>12</v>
      </c>
      <c r="F16" s="246" t="s">
        <v>176</v>
      </c>
      <c r="G16" s="9" t="s">
        <v>28</v>
      </c>
      <c r="H16" s="5" t="s">
        <v>5</v>
      </c>
      <c r="I16" s="246"/>
      <c r="J16" s="248">
        <v>7140000</v>
      </c>
      <c r="K16" s="246"/>
      <c r="L16" s="246"/>
      <c r="M16" s="7" t="s">
        <v>78</v>
      </c>
      <c r="N16" s="249">
        <f>510000+5100000+510000+1020000</f>
        <v>7140000</v>
      </c>
      <c r="O16" s="250">
        <f t="shared" si="0"/>
        <v>100</v>
      </c>
      <c r="P16" s="91" t="s">
        <v>139</v>
      </c>
      <c r="Q16" s="91" t="s">
        <v>318</v>
      </c>
      <c r="R16" s="249">
        <v>510000</v>
      </c>
      <c r="S16" s="249">
        <v>1530000</v>
      </c>
      <c r="T16" s="249">
        <f t="shared" si="2"/>
        <v>2040000</v>
      </c>
      <c r="U16" s="250">
        <f aca="true" t="shared" si="3" ref="U16:U21">T16/J16*100</f>
        <v>28.57142857142857</v>
      </c>
      <c r="V16" s="251">
        <f aca="true" t="shared" si="4" ref="V16:V23">J16-T16</f>
        <v>5100000</v>
      </c>
      <c r="W16" s="250">
        <f t="shared" si="1"/>
        <v>71.42857142857143</v>
      </c>
      <c r="X16" s="246"/>
      <c r="Y16" s="252"/>
    </row>
    <row r="17" spans="1:25" s="44" customFormat="1" ht="13.5" customHeight="1">
      <c r="A17" s="246"/>
      <c r="B17" s="247" t="s">
        <v>168</v>
      </c>
      <c r="C17" s="277" t="s">
        <v>267</v>
      </c>
      <c r="D17" s="246" t="s">
        <v>175</v>
      </c>
      <c r="E17" s="246">
        <v>12</v>
      </c>
      <c r="F17" s="246" t="s">
        <v>176</v>
      </c>
      <c r="G17" s="9" t="s">
        <v>28</v>
      </c>
      <c r="H17" s="5" t="s">
        <v>5</v>
      </c>
      <c r="I17" s="246"/>
      <c r="J17" s="248">
        <v>98280000</v>
      </c>
      <c r="K17" s="246"/>
      <c r="L17" s="246"/>
      <c r="M17" s="7" t="s">
        <v>78</v>
      </c>
      <c r="N17" s="249">
        <f>7020000+7020000+7020000+14040000</f>
        <v>35100000</v>
      </c>
      <c r="O17" s="250">
        <f t="shared" si="0"/>
        <v>35.714285714285715</v>
      </c>
      <c r="P17" s="91" t="s">
        <v>139</v>
      </c>
      <c r="Q17" s="91" t="s">
        <v>318</v>
      </c>
      <c r="R17" s="249">
        <v>7020000</v>
      </c>
      <c r="S17" s="249">
        <v>21060000</v>
      </c>
      <c r="T17" s="249">
        <f t="shared" si="2"/>
        <v>28080000</v>
      </c>
      <c r="U17" s="250">
        <f t="shared" si="3"/>
        <v>28.57142857142857</v>
      </c>
      <c r="V17" s="251">
        <f t="shared" si="4"/>
        <v>70200000</v>
      </c>
      <c r="W17" s="250">
        <f t="shared" si="1"/>
        <v>71.42857142857143</v>
      </c>
      <c r="X17" s="246"/>
      <c r="Y17" s="252"/>
    </row>
    <row r="18" spans="1:25" s="44" customFormat="1" ht="13.5" customHeight="1">
      <c r="A18" s="246"/>
      <c r="B18" s="247" t="s">
        <v>169</v>
      </c>
      <c r="C18" s="277" t="s">
        <v>267</v>
      </c>
      <c r="D18" s="246" t="s">
        <v>175</v>
      </c>
      <c r="E18" s="246">
        <v>12</v>
      </c>
      <c r="F18" s="246" t="s">
        <v>176</v>
      </c>
      <c r="G18" s="9" t="s">
        <v>28</v>
      </c>
      <c r="H18" s="5" t="s">
        <v>5</v>
      </c>
      <c r="I18" s="246"/>
      <c r="J18" s="248">
        <v>6144110</v>
      </c>
      <c r="K18" s="246"/>
      <c r="L18" s="246"/>
      <c r="M18" s="7" t="s">
        <v>78</v>
      </c>
      <c r="N18" s="249">
        <f>438865+438856+438865+877730</f>
        <v>2194316</v>
      </c>
      <c r="O18" s="250">
        <f t="shared" si="0"/>
        <v>35.71413923253327</v>
      </c>
      <c r="P18" s="91" t="s">
        <v>139</v>
      </c>
      <c r="Q18" s="91" t="s">
        <v>318</v>
      </c>
      <c r="R18" s="249">
        <v>506940</v>
      </c>
      <c r="S18" s="249">
        <v>1520820</v>
      </c>
      <c r="T18" s="249">
        <f t="shared" si="2"/>
        <v>2027760</v>
      </c>
      <c r="U18" s="250">
        <f t="shared" si="3"/>
        <v>33.003315370330284</v>
      </c>
      <c r="V18" s="251">
        <f t="shared" si="4"/>
        <v>4116350</v>
      </c>
      <c r="W18" s="250">
        <f t="shared" si="1"/>
        <v>66.99668462966972</v>
      </c>
      <c r="X18" s="246"/>
      <c r="Y18" s="252"/>
    </row>
    <row r="19" spans="1:25" s="44" customFormat="1" ht="13.5" customHeight="1">
      <c r="A19" s="246"/>
      <c r="B19" s="247" t="s">
        <v>170</v>
      </c>
      <c r="C19" s="277" t="s">
        <v>302</v>
      </c>
      <c r="D19" s="246" t="s">
        <v>175</v>
      </c>
      <c r="E19" s="246">
        <v>12</v>
      </c>
      <c r="F19" s="246" t="s">
        <v>176</v>
      </c>
      <c r="G19" s="9" t="s">
        <v>28</v>
      </c>
      <c r="H19" s="5" t="s">
        <v>5</v>
      </c>
      <c r="I19" s="246"/>
      <c r="J19" s="248">
        <v>703976</v>
      </c>
      <c r="K19" s="246"/>
      <c r="L19" s="246"/>
      <c r="M19" s="7" t="s">
        <v>78</v>
      </c>
      <c r="N19" s="249">
        <f>50284+50284+50284+100568</f>
        <v>251420</v>
      </c>
      <c r="O19" s="250">
        <f t="shared" si="0"/>
        <v>35.714285714285715</v>
      </c>
      <c r="P19" s="91" t="s">
        <v>139</v>
      </c>
      <c r="Q19" s="91" t="s">
        <v>318</v>
      </c>
      <c r="R19" s="249">
        <v>20092</v>
      </c>
      <c r="S19" s="249">
        <v>60276</v>
      </c>
      <c r="T19" s="249">
        <f t="shared" si="2"/>
        <v>80368</v>
      </c>
      <c r="U19" s="250">
        <f t="shared" si="3"/>
        <v>11.416298282896008</v>
      </c>
      <c r="V19" s="251">
        <f t="shared" si="4"/>
        <v>623608</v>
      </c>
      <c r="W19" s="250">
        <f t="shared" si="1"/>
        <v>88.58370171710399</v>
      </c>
      <c r="X19" s="246"/>
      <c r="Y19" s="252"/>
    </row>
    <row r="20" spans="1:25" s="44" customFormat="1" ht="13.5" customHeight="1">
      <c r="A20" s="246"/>
      <c r="B20" s="247" t="s">
        <v>171</v>
      </c>
      <c r="C20" s="277" t="s">
        <v>268</v>
      </c>
      <c r="D20" s="246" t="s">
        <v>175</v>
      </c>
      <c r="E20" s="246">
        <v>12</v>
      </c>
      <c r="F20" s="246" t="s">
        <v>176</v>
      </c>
      <c r="G20" s="9" t="s">
        <v>28</v>
      </c>
      <c r="H20" s="5" t="s">
        <v>5</v>
      </c>
      <c r="I20" s="246"/>
      <c r="J20" s="248">
        <v>840</v>
      </c>
      <c r="K20" s="246"/>
      <c r="L20" s="246"/>
      <c r="M20" s="7" t="s">
        <v>78</v>
      </c>
      <c r="N20" s="249">
        <f>60+60+60+120</f>
        <v>300</v>
      </c>
      <c r="O20" s="250">
        <f t="shared" si="0"/>
        <v>35.714285714285715</v>
      </c>
      <c r="P20" s="91" t="s">
        <v>139</v>
      </c>
      <c r="Q20" s="91" t="s">
        <v>318</v>
      </c>
      <c r="R20" s="249">
        <v>160</v>
      </c>
      <c r="S20" s="249">
        <v>480</v>
      </c>
      <c r="T20" s="249">
        <f t="shared" si="2"/>
        <v>640</v>
      </c>
      <c r="U20" s="250">
        <f t="shared" si="3"/>
        <v>76.19047619047619</v>
      </c>
      <c r="V20" s="251">
        <f t="shared" si="4"/>
        <v>200</v>
      </c>
      <c r="W20" s="250">
        <f t="shared" si="1"/>
        <v>23.809523809523807</v>
      </c>
      <c r="X20" s="246"/>
      <c r="Y20" s="252"/>
    </row>
    <row r="21" spans="1:25" s="44" customFormat="1" ht="22.5" customHeight="1">
      <c r="A21" s="246"/>
      <c r="B21" s="247" t="s">
        <v>172</v>
      </c>
      <c r="C21" s="277" t="s">
        <v>303</v>
      </c>
      <c r="D21" s="246" t="s">
        <v>175</v>
      </c>
      <c r="E21" s="246">
        <v>12</v>
      </c>
      <c r="F21" s="246" t="s">
        <v>176</v>
      </c>
      <c r="G21" s="9" t="s">
        <v>28</v>
      </c>
      <c r="H21" s="5" t="s">
        <v>5</v>
      </c>
      <c r="I21" s="246"/>
      <c r="J21" s="248">
        <v>449280</v>
      </c>
      <c r="K21" s="246"/>
      <c r="L21" s="246"/>
      <c r="M21" s="7" t="s">
        <v>78</v>
      </c>
      <c r="N21" s="249">
        <f>96273+64188</f>
        <v>160461</v>
      </c>
      <c r="O21" s="250">
        <f t="shared" si="0"/>
        <v>35.71514423076923</v>
      </c>
      <c r="P21" s="91" t="s">
        <v>139</v>
      </c>
      <c r="Q21" s="91" t="s">
        <v>318</v>
      </c>
      <c r="R21" s="249">
        <v>37440</v>
      </c>
      <c r="S21" s="249">
        <v>112320</v>
      </c>
      <c r="T21" s="249">
        <f t="shared" si="2"/>
        <v>149760</v>
      </c>
      <c r="U21" s="250">
        <f t="shared" si="3"/>
        <v>33.33333333333333</v>
      </c>
      <c r="V21" s="251">
        <f t="shared" si="4"/>
        <v>299520</v>
      </c>
      <c r="W21" s="250">
        <f t="shared" si="1"/>
        <v>66.66666666666666</v>
      </c>
      <c r="X21" s="246"/>
      <c r="Y21" s="252"/>
    </row>
    <row r="22" spans="1:25" s="259" customFormat="1" ht="26.25" customHeight="1">
      <c r="A22" s="219"/>
      <c r="B22" s="253" t="s">
        <v>173</v>
      </c>
      <c r="C22" s="218" t="s">
        <v>227</v>
      </c>
      <c r="D22" s="219" t="s">
        <v>175</v>
      </c>
      <c r="E22" s="219">
        <v>12</v>
      </c>
      <c r="F22" s="219" t="s">
        <v>176</v>
      </c>
      <c r="G22" s="206" t="s">
        <v>28</v>
      </c>
      <c r="H22" s="207" t="s">
        <v>5</v>
      </c>
      <c r="I22" s="219"/>
      <c r="J22" s="254">
        <v>600000000</v>
      </c>
      <c r="K22" s="219"/>
      <c r="L22" s="219"/>
      <c r="M22" s="255"/>
      <c r="N22" s="256">
        <f>SUM(N23)</f>
        <v>200000000</v>
      </c>
      <c r="O22" s="257">
        <f>N22/J22*100</f>
        <v>33.33333333333333</v>
      </c>
      <c r="P22" s="275" t="s">
        <v>139</v>
      </c>
      <c r="Q22" s="275" t="s">
        <v>318</v>
      </c>
      <c r="R22" s="256">
        <f>SUM(R23)</f>
        <v>50000000</v>
      </c>
      <c r="S22" s="256">
        <f>SUM(S23)</f>
        <v>150000000</v>
      </c>
      <c r="T22" s="256">
        <f>SUM(T23)</f>
        <v>200000000</v>
      </c>
      <c r="U22" s="257">
        <f>T22/J22*100</f>
        <v>33.33333333333333</v>
      </c>
      <c r="V22" s="256">
        <f>SUM(V23)</f>
        <v>400000000</v>
      </c>
      <c r="W22" s="257">
        <f t="shared" si="1"/>
        <v>66.66666666666666</v>
      </c>
      <c r="X22" s="256"/>
      <c r="Y22" s="258"/>
    </row>
    <row r="23" spans="1:25" s="298" customFormat="1" ht="24" customHeight="1">
      <c r="A23" s="284"/>
      <c r="B23" s="285" t="s">
        <v>174</v>
      </c>
      <c r="C23" s="286" t="s">
        <v>207</v>
      </c>
      <c r="D23" s="287" t="s">
        <v>175</v>
      </c>
      <c r="E23" s="284">
        <v>12</v>
      </c>
      <c r="F23" s="287" t="s">
        <v>176</v>
      </c>
      <c r="G23" s="288" t="s">
        <v>28</v>
      </c>
      <c r="H23" s="289" t="s">
        <v>5</v>
      </c>
      <c r="I23" s="284"/>
      <c r="J23" s="290">
        <v>600000000</v>
      </c>
      <c r="K23" s="284"/>
      <c r="L23" s="284"/>
      <c r="M23" s="291" t="s">
        <v>78</v>
      </c>
      <c r="N23" s="292">
        <f>50000000+50000000+50000000+50000000</f>
        <v>200000000</v>
      </c>
      <c r="O23" s="293">
        <f t="shared" si="0"/>
        <v>33.33333333333333</v>
      </c>
      <c r="P23" s="294" t="s">
        <v>139</v>
      </c>
      <c r="Q23" s="294" t="s">
        <v>318</v>
      </c>
      <c r="R23" s="292">
        <v>50000000</v>
      </c>
      <c r="S23" s="292">
        <v>150000000</v>
      </c>
      <c r="T23" s="295">
        <f>R23+S23</f>
        <v>200000000</v>
      </c>
      <c r="U23" s="293">
        <f>T23/J23*100</f>
        <v>33.33333333333333</v>
      </c>
      <c r="V23" s="296">
        <f t="shared" si="4"/>
        <v>400000000</v>
      </c>
      <c r="W23" s="293">
        <f t="shared" si="1"/>
        <v>66.66666666666666</v>
      </c>
      <c r="X23" s="284"/>
      <c r="Y23" s="297"/>
    </row>
    <row r="24" spans="1:35" s="26" customFormat="1" ht="16.5" customHeight="1">
      <c r="A24" s="260"/>
      <c r="B24" s="261" t="s">
        <v>6</v>
      </c>
      <c r="C24" s="260"/>
      <c r="D24" s="260"/>
      <c r="E24" s="260"/>
      <c r="F24" s="260"/>
      <c r="G24" s="260"/>
      <c r="H24" s="260"/>
      <c r="I24" s="260"/>
      <c r="J24" s="262">
        <f>J25+J73+J103</f>
        <v>10478985750</v>
      </c>
      <c r="K24" s="262"/>
      <c r="L24" s="262"/>
      <c r="M24" s="262"/>
      <c r="N24" s="262">
        <f>N25+N73+N103</f>
        <v>4136606800</v>
      </c>
      <c r="O24" s="302">
        <f>N24/J24*100</f>
        <v>39.47525933032212</v>
      </c>
      <c r="P24" s="262"/>
      <c r="Q24" s="262"/>
      <c r="R24" s="262">
        <f>R25+R73+R103</f>
        <v>749979551</v>
      </c>
      <c r="S24" s="262">
        <f>S25+S73+S103</f>
        <v>1439489046</v>
      </c>
      <c r="T24" s="262">
        <f>T25+T73+T103</f>
        <v>2189468597</v>
      </c>
      <c r="U24" s="262">
        <f>T24/J24*100</f>
        <v>20.893898028251446</v>
      </c>
      <c r="V24" s="262">
        <f>V25+V73+V103</f>
        <v>8289517153</v>
      </c>
      <c r="W24" s="262">
        <f>V24/J24*100</f>
        <v>79.10610197174856</v>
      </c>
      <c r="X24" s="262"/>
      <c r="Y24" s="263"/>
      <c r="Z24" s="45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26" customFormat="1" ht="12" customHeight="1">
      <c r="A25" s="348" t="s">
        <v>18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1">
        <f>J27</f>
        <v>4264879350</v>
      </c>
      <c r="K25" s="351"/>
      <c r="L25" s="351"/>
      <c r="M25" s="351"/>
      <c r="N25" s="351">
        <f>N27</f>
        <v>1550305400</v>
      </c>
      <c r="O25" s="351">
        <f>N25/J25*100</f>
        <v>36.35051012638845</v>
      </c>
      <c r="P25" s="351"/>
      <c r="Q25" s="351"/>
      <c r="R25" s="351">
        <f>R27</f>
        <v>276750799</v>
      </c>
      <c r="S25" s="351">
        <f>S27</f>
        <v>574805907</v>
      </c>
      <c r="T25" s="351">
        <f>T27</f>
        <v>851556706</v>
      </c>
      <c r="U25" s="351">
        <v>0</v>
      </c>
      <c r="V25" s="351">
        <f>V27</f>
        <v>3413322644</v>
      </c>
      <c r="W25" s="351">
        <f>V25/J25*100</f>
        <v>80.03327559547493</v>
      </c>
      <c r="X25" s="351"/>
      <c r="Y25" s="52"/>
      <c r="Z25" s="45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26" customFormat="1" ht="13.5" customHeight="1">
      <c r="A26" s="348"/>
      <c r="B26" s="349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41"/>
      <c r="Z26" s="45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140" customFormat="1" ht="27.75" customHeight="1">
      <c r="A27" s="130"/>
      <c r="B27" s="131" t="s">
        <v>82</v>
      </c>
      <c r="C27" s="130" t="s">
        <v>107</v>
      </c>
      <c r="D27" s="132" t="s">
        <v>37</v>
      </c>
      <c r="E27" s="132" t="s">
        <v>140</v>
      </c>
      <c r="F27" s="132" t="s">
        <v>181</v>
      </c>
      <c r="G27" s="130" t="s">
        <v>28</v>
      </c>
      <c r="H27" s="132" t="s">
        <v>5</v>
      </c>
      <c r="I27" s="130" t="s">
        <v>28</v>
      </c>
      <c r="J27" s="133">
        <f>J28+J39</f>
        <v>4264879350</v>
      </c>
      <c r="K27" s="133"/>
      <c r="L27" s="133"/>
      <c r="M27" s="133"/>
      <c r="N27" s="133">
        <f>N28+N39</f>
        <v>1550305400</v>
      </c>
      <c r="O27" s="133">
        <f>N27/J27*100</f>
        <v>36.35051012638845</v>
      </c>
      <c r="P27" s="133"/>
      <c r="Q27" s="133"/>
      <c r="R27" s="133">
        <f>R28+R39</f>
        <v>276750799</v>
      </c>
      <c r="S27" s="133">
        <f>S28+S39</f>
        <v>574805907</v>
      </c>
      <c r="T27" s="133">
        <f>T28+T39</f>
        <v>851556706</v>
      </c>
      <c r="U27" s="133">
        <f>T27/J27*100</f>
        <v>19.966724404525067</v>
      </c>
      <c r="V27" s="133">
        <f>V28+V39</f>
        <v>3413322644</v>
      </c>
      <c r="W27" s="133">
        <f>V27/J27*100</f>
        <v>80.03327559547493</v>
      </c>
      <c r="X27" s="133"/>
      <c r="Y27" s="106"/>
      <c r="Z27" s="45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126" customFormat="1" ht="13.5">
      <c r="A28" s="118">
        <v>1</v>
      </c>
      <c r="B28" s="119" t="s">
        <v>83</v>
      </c>
      <c r="C28" s="118"/>
      <c r="D28" s="120"/>
      <c r="E28" s="120"/>
      <c r="F28" s="120"/>
      <c r="G28" s="118"/>
      <c r="H28" s="120"/>
      <c r="I28" s="118" t="s">
        <v>28</v>
      </c>
      <c r="J28" s="121">
        <f>J29+J37</f>
        <v>137744000</v>
      </c>
      <c r="K28" s="121"/>
      <c r="L28" s="121"/>
      <c r="M28" s="121"/>
      <c r="N28" s="121">
        <f>N29+N37</f>
        <v>44407750</v>
      </c>
      <c r="O28" s="121">
        <f>N28/J28*100</f>
        <v>32.23933528865141</v>
      </c>
      <c r="P28" s="121"/>
      <c r="Q28" s="121"/>
      <c r="R28" s="121">
        <f>R29+R37</f>
        <v>12669000</v>
      </c>
      <c r="S28" s="121">
        <f>S29+S37</f>
        <v>7069500</v>
      </c>
      <c r="T28" s="121">
        <f>T29+T37</f>
        <v>19738500</v>
      </c>
      <c r="U28" s="121">
        <f>T28/J28*100</f>
        <v>14.329843768149612</v>
      </c>
      <c r="V28" s="121">
        <f>V29+V37</f>
        <v>118005500</v>
      </c>
      <c r="W28" s="121">
        <f>V28/J28*100</f>
        <v>85.6701562318504</v>
      </c>
      <c r="X28" s="121"/>
      <c r="Y28" s="106"/>
      <c r="Z28" s="45"/>
      <c r="AA28" s="173"/>
      <c r="AB28" s="43"/>
      <c r="AC28" s="43"/>
      <c r="AD28" s="43"/>
      <c r="AE28" s="43"/>
      <c r="AF28" s="43"/>
      <c r="AG28" s="43"/>
      <c r="AH28" s="43"/>
      <c r="AI28" s="43"/>
    </row>
    <row r="29" spans="1:35" s="26" customFormat="1" ht="13.5">
      <c r="A29" s="10"/>
      <c r="B29" s="94" t="s">
        <v>84</v>
      </c>
      <c r="C29" s="10" t="s">
        <v>111</v>
      </c>
      <c r="D29" s="102" t="s">
        <v>37</v>
      </c>
      <c r="E29" s="102" t="s">
        <v>140</v>
      </c>
      <c r="F29" s="102" t="s">
        <v>181</v>
      </c>
      <c r="G29" s="10" t="s">
        <v>28</v>
      </c>
      <c r="H29" s="102" t="s">
        <v>5</v>
      </c>
      <c r="I29" s="102"/>
      <c r="J29" s="98">
        <f>SUM(J30:J36)</f>
        <v>42417000</v>
      </c>
      <c r="K29" s="105"/>
      <c r="L29" s="105"/>
      <c r="M29" s="105"/>
      <c r="N29" s="111">
        <f>SUM(N30:N36)</f>
        <v>13407750</v>
      </c>
      <c r="O29" s="195">
        <f>N29/J29*100</f>
        <v>31.60937831529811</v>
      </c>
      <c r="P29" s="170" t="s">
        <v>139</v>
      </c>
      <c r="Q29" s="170" t="s">
        <v>318</v>
      </c>
      <c r="R29" s="89">
        <f>SUM(R30:R36)</f>
        <v>0</v>
      </c>
      <c r="S29" s="89">
        <f>SUM(S30:S36)</f>
        <v>7069500</v>
      </c>
      <c r="T29" s="89">
        <f>SUM(T30:T36)</f>
        <v>7069500</v>
      </c>
      <c r="U29" s="204">
        <f>T29/J29*100</f>
        <v>16.666666666666664</v>
      </c>
      <c r="V29" s="86">
        <f>SUM(V30:V36)</f>
        <v>35347500</v>
      </c>
      <c r="W29" s="188">
        <f>V29/J29*100</f>
        <v>83.33333333333334</v>
      </c>
      <c r="X29" s="105"/>
      <c r="Y29" s="106"/>
      <c r="Z29" s="45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25" customFormat="1" ht="13.5">
      <c r="A30" s="9"/>
      <c r="B30" s="74" t="s">
        <v>85</v>
      </c>
      <c r="C30" s="9" t="s">
        <v>108</v>
      </c>
      <c r="D30" s="5" t="s">
        <v>37</v>
      </c>
      <c r="E30" s="5" t="s">
        <v>140</v>
      </c>
      <c r="F30" s="5" t="s">
        <v>181</v>
      </c>
      <c r="G30" s="9" t="s">
        <v>28</v>
      </c>
      <c r="H30" s="5" t="s">
        <v>5</v>
      </c>
      <c r="I30" s="9" t="s">
        <v>28</v>
      </c>
      <c r="J30" s="11">
        <v>10164000</v>
      </c>
      <c r="K30" s="36"/>
      <c r="L30" s="37"/>
      <c r="M30" s="7" t="s">
        <v>78</v>
      </c>
      <c r="N30" s="112">
        <f>847000+847000+847000+847000</f>
        <v>3388000</v>
      </c>
      <c r="O30" s="196">
        <f>N30/J30*100</f>
        <v>33.33333333333333</v>
      </c>
      <c r="P30" s="91" t="s">
        <v>139</v>
      </c>
      <c r="Q30" s="91" t="s">
        <v>318</v>
      </c>
      <c r="R30" s="88"/>
      <c r="S30" s="88">
        <v>1694000</v>
      </c>
      <c r="T30" s="88">
        <f aca="true" t="shared" si="5" ref="T30:T36">R30+S30</f>
        <v>1694000</v>
      </c>
      <c r="U30" s="205">
        <f>T30/J30*100</f>
        <v>16.666666666666664</v>
      </c>
      <c r="V30" s="8">
        <f>J30-T30</f>
        <v>8470000</v>
      </c>
      <c r="W30" s="189">
        <f aca="true" t="shared" si="6" ref="W30:W38">V30/J30*100</f>
        <v>83.33333333333334</v>
      </c>
      <c r="X30" s="7"/>
      <c r="Y30" s="38"/>
      <c r="Z30" s="46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25" customFormat="1" ht="17.25" customHeight="1">
      <c r="A31" s="9"/>
      <c r="B31" s="97" t="s">
        <v>142</v>
      </c>
      <c r="C31" s="9" t="s">
        <v>113</v>
      </c>
      <c r="D31" s="5" t="s">
        <v>37</v>
      </c>
      <c r="E31" s="5" t="s">
        <v>140</v>
      </c>
      <c r="F31" s="5" t="s">
        <v>181</v>
      </c>
      <c r="G31" s="9" t="s">
        <v>28</v>
      </c>
      <c r="H31" s="5" t="s">
        <v>5</v>
      </c>
      <c r="I31" s="5"/>
      <c r="J31" s="11">
        <v>2808000</v>
      </c>
      <c r="K31" s="7"/>
      <c r="L31" s="7"/>
      <c r="M31" s="7" t="s">
        <v>78</v>
      </c>
      <c r="N31" s="53">
        <f>234000+234000+234000+234000</f>
        <v>936000</v>
      </c>
      <c r="O31" s="196">
        <f aca="true" t="shared" si="7" ref="O31:O51">N31/J31*100</f>
        <v>33.33333333333333</v>
      </c>
      <c r="P31" s="91" t="s">
        <v>139</v>
      </c>
      <c r="Q31" s="91" t="s">
        <v>318</v>
      </c>
      <c r="R31" s="88"/>
      <c r="S31" s="88">
        <v>468000</v>
      </c>
      <c r="T31" s="88">
        <f t="shared" si="5"/>
        <v>468000</v>
      </c>
      <c r="U31" s="205">
        <f aca="true" t="shared" si="8" ref="U31:U36">T31/J31*100</f>
        <v>16.666666666666664</v>
      </c>
      <c r="V31" s="8">
        <f aca="true" t="shared" si="9" ref="V31:V36">J31-T31</f>
        <v>2340000</v>
      </c>
      <c r="W31" s="189">
        <f t="shared" si="6"/>
        <v>83.33333333333334</v>
      </c>
      <c r="X31" s="7"/>
      <c r="Y31" s="38"/>
      <c r="Z31" s="46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25" customFormat="1" ht="13.5">
      <c r="A32" s="9"/>
      <c r="B32" s="74" t="s">
        <v>86</v>
      </c>
      <c r="C32" s="9" t="s">
        <v>109</v>
      </c>
      <c r="D32" s="5" t="s">
        <v>37</v>
      </c>
      <c r="E32" s="5" t="s">
        <v>140</v>
      </c>
      <c r="F32" s="5" t="s">
        <v>181</v>
      </c>
      <c r="G32" s="9" t="s">
        <v>28</v>
      </c>
      <c r="H32" s="5" t="s">
        <v>5</v>
      </c>
      <c r="I32" s="9" t="s">
        <v>28</v>
      </c>
      <c r="J32" s="11">
        <v>1200000</v>
      </c>
      <c r="K32" s="36"/>
      <c r="L32" s="37"/>
      <c r="M32" s="7" t="s">
        <v>78</v>
      </c>
      <c r="N32" s="112">
        <f>100000+100000+100000+100000</f>
        <v>400000</v>
      </c>
      <c r="O32" s="196">
        <f t="shared" si="7"/>
        <v>33.33333333333333</v>
      </c>
      <c r="P32" s="91" t="s">
        <v>139</v>
      </c>
      <c r="Q32" s="91" t="s">
        <v>318</v>
      </c>
      <c r="R32" s="88"/>
      <c r="S32" s="88">
        <v>200000</v>
      </c>
      <c r="T32" s="88">
        <f t="shared" si="5"/>
        <v>200000</v>
      </c>
      <c r="U32" s="205">
        <f t="shared" si="8"/>
        <v>16.666666666666664</v>
      </c>
      <c r="V32" s="8">
        <f t="shared" si="9"/>
        <v>1000000</v>
      </c>
      <c r="W32" s="189">
        <f t="shared" si="6"/>
        <v>83.33333333333334</v>
      </c>
      <c r="X32" s="7"/>
      <c r="Y32" s="38"/>
      <c r="Z32" s="46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25" customFormat="1" ht="13.5">
      <c r="A33" s="9"/>
      <c r="B33" s="6" t="s">
        <v>145</v>
      </c>
      <c r="C33" s="9" t="s">
        <v>146</v>
      </c>
      <c r="D33" s="5" t="s">
        <v>37</v>
      </c>
      <c r="E33" s="5" t="s">
        <v>140</v>
      </c>
      <c r="F33" s="5" t="s">
        <v>181</v>
      </c>
      <c r="G33" s="9" t="s">
        <v>28</v>
      </c>
      <c r="H33" s="5" t="s">
        <v>5</v>
      </c>
      <c r="I33" s="9"/>
      <c r="J33" s="11">
        <v>8772000</v>
      </c>
      <c r="K33" s="36"/>
      <c r="L33" s="37"/>
      <c r="M33" s="7" t="s">
        <v>78</v>
      </c>
      <c r="N33" s="112">
        <f>731000+731000+731000+731000</f>
        <v>2924000</v>
      </c>
      <c r="O33" s="196">
        <f t="shared" si="7"/>
        <v>33.33333333333333</v>
      </c>
      <c r="P33" s="91" t="s">
        <v>139</v>
      </c>
      <c r="Q33" s="91" t="s">
        <v>318</v>
      </c>
      <c r="R33" s="88"/>
      <c r="S33" s="88">
        <v>1462000</v>
      </c>
      <c r="T33" s="88">
        <f t="shared" si="5"/>
        <v>1462000</v>
      </c>
      <c r="U33" s="205">
        <f t="shared" si="8"/>
        <v>16.666666666666664</v>
      </c>
      <c r="V33" s="8">
        <f t="shared" si="9"/>
        <v>7310000</v>
      </c>
      <c r="W33" s="189">
        <f t="shared" si="6"/>
        <v>83.33333333333334</v>
      </c>
      <c r="X33" s="7"/>
      <c r="Y33" s="38"/>
      <c r="Z33" s="46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25" customFormat="1" ht="13.5">
      <c r="A34" s="9"/>
      <c r="B34" s="6" t="s">
        <v>148</v>
      </c>
      <c r="C34" s="9" t="s">
        <v>147</v>
      </c>
      <c r="D34" s="5" t="s">
        <v>37</v>
      </c>
      <c r="E34" s="5" t="s">
        <v>140</v>
      </c>
      <c r="F34" s="5" t="s">
        <v>181</v>
      </c>
      <c r="G34" s="9" t="s">
        <v>28</v>
      </c>
      <c r="H34" s="5" t="s">
        <v>5</v>
      </c>
      <c r="I34" s="9"/>
      <c r="J34" s="11">
        <v>8775000</v>
      </c>
      <c r="K34" s="36"/>
      <c r="L34" s="37"/>
      <c r="M34" s="7" t="s">
        <v>78</v>
      </c>
      <c r="N34" s="177">
        <f>731250+731250+731250+529000</f>
        <v>2722750</v>
      </c>
      <c r="O34" s="196">
        <f t="shared" si="7"/>
        <v>31.02849002849003</v>
      </c>
      <c r="P34" s="91" t="s">
        <v>139</v>
      </c>
      <c r="Q34" s="91" t="s">
        <v>318</v>
      </c>
      <c r="R34" s="88"/>
      <c r="S34" s="88">
        <v>1462500</v>
      </c>
      <c r="T34" s="88">
        <f t="shared" si="5"/>
        <v>1462500</v>
      </c>
      <c r="U34" s="205">
        <f t="shared" si="8"/>
        <v>16.666666666666664</v>
      </c>
      <c r="V34" s="8">
        <f t="shared" si="9"/>
        <v>7312500</v>
      </c>
      <c r="W34" s="189">
        <f t="shared" si="6"/>
        <v>83.33333333333334</v>
      </c>
      <c r="X34" s="7"/>
      <c r="Y34" s="38"/>
      <c r="Z34" s="46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s="25" customFormat="1" ht="13.5">
      <c r="A35" s="9"/>
      <c r="B35" s="6" t="s">
        <v>177</v>
      </c>
      <c r="C35" s="9" t="s">
        <v>179</v>
      </c>
      <c r="D35" s="5" t="s">
        <v>37</v>
      </c>
      <c r="E35" s="5" t="s">
        <v>140</v>
      </c>
      <c r="F35" s="5" t="s">
        <v>181</v>
      </c>
      <c r="G35" s="9"/>
      <c r="H35" s="5"/>
      <c r="I35" s="9"/>
      <c r="J35" s="11">
        <v>6348000</v>
      </c>
      <c r="K35" s="36"/>
      <c r="L35" s="37"/>
      <c r="M35" s="7" t="s">
        <v>78</v>
      </c>
      <c r="N35" s="177">
        <f>529000+529000+529000+362500</f>
        <v>1949500</v>
      </c>
      <c r="O35" s="196">
        <f t="shared" si="7"/>
        <v>30.710459987397602</v>
      </c>
      <c r="P35" s="91" t="s">
        <v>139</v>
      </c>
      <c r="Q35" s="91" t="s">
        <v>318</v>
      </c>
      <c r="R35" s="88"/>
      <c r="S35" s="88">
        <v>1058000</v>
      </c>
      <c r="T35" s="88">
        <f t="shared" si="5"/>
        <v>1058000</v>
      </c>
      <c r="U35" s="205">
        <f t="shared" si="8"/>
        <v>16.666666666666664</v>
      </c>
      <c r="V35" s="8">
        <f t="shared" si="9"/>
        <v>5290000</v>
      </c>
      <c r="W35" s="189">
        <f t="shared" si="6"/>
        <v>83.33333333333334</v>
      </c>
      <c r="X35" s="7"/>
      <c r="Y35" s="38"/>
      <c r="Z35" s="46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5" customFormat="1" ht="13.5">
      <c r="A36" s="9"/>
      <c r="B36" s="6" t="s">
        <v>178</v>
      </c>
      <c r="C36" s="9" t="s">
        <v>180</v>
      </c>
      <c r="D36" s="5" t="s">
        <v>37</v>
      </c>
      <c r="E36" s="5" t="s">
        <v>140</v>
      </c>
      <c r="F36" s="5" t="s">
        <v>181</v>
      </c>
      <c r="G36" s="9"/>
      <c r="H36" s="5"/>
      <c r="I36" s="9"/>
      <c r="J36" s="11">
        <v>4350000</v>
      </c>
      <c r="K36" s="36"/>
      <c r="L36" s="37"/>
      <c r="M36" s="7" t="s">
        <v>78</v>
      </c>
      <c r="N36" s="177">
        <f>362500+362500+362500</f>
        <v>1087500</v>
      </c>
      <c r="O36" s="196">
        <f t="shared" si="7"/>
        <v>25</v>
      </c>
      <c r="P36" s="91" t="s">
        <v>139</v>
      </c>
      <c r="Q36" s="91" t="s">
        <v>318</v>
      </c>
      <c r="R36" s="88"/>
      <c r="S36" s="88">
        <v>725000</v>
      </c>
      <c r="T36" s="88">
        <f t="shared" si="5"/>
        <v>725000</v>
      </c>
      <c r="U36" s="205">
        <f t="shared" si="8"/>
        <v>16.666666666666664</v>
      </c>
      <c r="V36" s="8">
        <f t="shared" si="9"/>
        <v>3625000</v>
      </c>
      <c r="W36" s="189">
        <f t="shared" si="6"/>
        <v>83.33333333333334</v>
      </c>
      <c r="X36" s="7"/>
      <c r="Y36" s="38"/>
      <c r="Z36" s="46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26" customFormat="1" ht="13.5">
      <c r="A37" s="10"/>
      <c r="B37" s="94" t="s">
        <v>160</v>
      </c>
      <c r="C37" s="10" t="s">
        <v>161</v>
      </c>
      <c r="D37" s="102" t="s">
        <v>37</v>
      </c>
      <c r="E37" s="102" t="s">
        <v>140</v>
      </c>
      <c r="F37" s="102" t="s">
        <v>181</v>
      </c>
      <c r="G37" s="10" t="s">
        <v>28</v>
      </c>
      <c r="H37" s="102" t="s">
        <v>5</v>
      </c>
      <c r="I37" s="10"/>
      <c r="J37" s="98">
        <f>J38</f>
        <v>95327000</v>
      </c>
      <c r="K37" s="103"/>
      <c r="L37" s="104"/>
      <c r="M37" s="105"/>
      <c r="N37" s="179">
        <f>N38</f>
        <v>31000000</v>
      </c>
      <c r="O37" s="195">
        <f t="shared" si="7"/>
        <v>32.5196429133404</v>
      </c>
      <c r="P37" s="170" t="s">
        <v>139</v>
      </c>
      <c r="Q37" s="170" t="s">
        <v>318</v>
      </c>
      <c r="R37" s="89">
        <f>R38</f>
        <v>12669000</v>
      </c>
      <c r="S37" s="88">
        <f>S38</f>
        <v>0</v>
      </c>
      <c r="T37" s="89">
        <f>T38</f>
        <v>12669000</v>
      </c>
      <c r="U37" s="204">
        <f aca="true" t="shared" si="10" ref="U37:U45">T37/J37*100</f>
        <v>13.290043744164823</v>
      </c>
      <c r="V37" s="86">
        <f>V38</f>
        <v>82658000</v>
      </c>
      <c r="W37" s="188">
        <f t="shared" si="6"/>
        <v>86.70995625583518</v>
      </c>
      <c r="X37" s="105"/>
      <c r="Y37" s="106"/>
      <c r="Z37" s="45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25" customFormat="1" ht="13.5">
      <c r="A38" s="9"/>
      <c r="B38" s="6" t="s">
        <v>159</v>
      </c>
      <c r="C38" s="9" t="s">
        <v>110</v>
      </c>
      <c r="D38" s="5" t="s">
        <v>37</v>
      </c>
      <c r="E38" s="5" t="s">
        <v>140</v>
      </c>
      <c r="F38" s="5" t="s">
        <v>181</v>
      </c>
      <c r="G38" s="9" t="s">
        <v>28</v>
      </c>
      <c r="H38" s="5" t="s">
        <v>5</v>
      </c>
      <c r="I38" s="9"/>
      <c r="J38" s="11">
        <v>95327000</v>
      </c>
      <c r="K38" s="36"/>
      <c r="L38" s="37"/>
      <c r="M38" s="7" t="s">
        <v>78</v>
      </c>
      <c r="N38" s="177">
        <f>8000000+8000000+7500000+7500000</f>
        <v>31000000</v>
      </c>
      <c r="O38" s="196">
        <f t="shared" si="7"/>
        <v>32.5196429133404</v>
      </c>
      <c r="P38" s="91" t="s">
        <v>139</v>
      </c>
      <c r="Q38" s="91" t="s">
        <v>318</v>
      </c>
      <c r="R38" s="88">
        <v>12669000</v>
      </c>
      <c r="S38" s="88"/>
      <c r="T38" s="88">
        <f>R38+S38</f>
        <v>12669000</v>
      </c>
      <c r="U38" s="204">
        <f t="shared" si="10"/>
        <v>13.290043744164823</v>
      </c>
      <c r="V38" s="8">
        <f>J38-T38</f>
        <v>82658000</v>
      </c>
      <c r="W38" s="189">
        <f t="shared" si="6"/>
        <v>86.70995625583518</v>
      </c>
      <c r="X38" s="7"/>
      <c r="Y38" s="38"/>
      <c r="Z38" s="46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26" customFormat="1" ht="13.5">
      <c r="A39" s="118">
        <v>2</v>
      </c>
      <c r="B39" s="119" t="s">
        <v>79</v>
      </c>
      <c r="C39" s="118"/>
      <c r="D39" s="120"/>
      <c r="E39" s="120"/>
      <c r="F39" s="120"/>
      <c r="G39" s="118"/>
      <c r="H39" s="120"/>
      <c r="I39" s="118"/>
      <c r="J39" s="121">
        <f>J40+J45+J53+J56+J59+J64+J67+J70</f>
        <v>4127135350</v>
      </c>
      <c r="K39" s="121"/>
      <c r="L39" s="121"/>
      <c r="M39" s="121"/>
      <c r="N39" s="121">
        <f>N40+N45+N53+N56+N59+N64+N67+N70</f>
        <v>1505897650</v>
      </c>
      <c r="O39" s="121">
        <f t="shared" si="7"/>
        <v>36.48772144097479</v>
      </c>
      <c r="P39" s="121"/>
      <c r="Q39" s="121"/>
      <c r="R39" s="123">
        <f>R40+R45+R53+R56+R59+R64+R67+R70</f>
        <v>264081799</v>
      </c>
      <c r="S39" s="123">
        <f>S40+S45+S53+S56+S59+S64+S67+S70</f>
        <v>567736407</v>
      </c>
      <c r="T39" s="123">
        <f>T40+T45+T53+T56+T59+T64+T67+T70</f>
        <v>831818206</v>
      </c>
      <c r="U39" s="203">
        <f t="shared" si="10"/>
        <v>20.15485646721036</v>
      </c>
      <c r="V39" s="121">
        <f>V40+V45+V53+V56+V59+V64+V67+V70</f>
        <v>3295317144</v>
      </c>
      <c r="W39" s="121">
        <f>V39/J39*100</f>
        <v>79.84514353278965</v>
      </c>
      <c r="X39" s="121"/>
      <c r="Y39" s="106"/>
      <c r="Z39" s="45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26" customFormat="1" ht="13.5">
      <c r="A40" s="10"/>
      <c r="B40" s="94" t="s">
        <v>87</v>
      </c>
      <c r="C40" s="10" t="s">
        <v>112</v>
      </c>
      <c r="D40" s="102" t="s">
        <v>37</v>
      </c>
      <c r="E40" s="102" t="s">
        <v>140</v>
      </c>
      <c r="F40" s="102" t="s">
        <v>181</v>
      </c>
      <c r="G40" s="10" t="s">
        <v>28</v>
      </c>
      <c r="H40" s="102" t="s">
        <v>5</v>
      </c>
      <c r="I40" s="10" t="s">
        <v>28</v>
      </c>
      <c r="J40" s="264">
        <f>SUM(J41:J44)</f>
        <v>46936570</v>
      </c>
      <c r="K40" s="104"/>
      <c r="L40" s="104"/>
      <c r="M40" s="105"/>
      <c r="N40" s="110">
        <f>SUM(N41:N44)</f>
        <v>24043950</v>
      </c>
      <c r="O40" s="195">
        <f t="shared" si="7"/>
        <v>51.22647436742821</v>
      </c>
      <c r="P40" s="170" t="s">
        <v>139</v>
      </c>
      <c r="Q40" s="170" t="s">
        <v>318</v>
      </c>
      <c r="R40" s="89">
        <f>SUM(R41:R44)</f>
        <v>0</v>
      </c>
      <c r="S40" s="89">
        <f>SUM(S41:S43)</f>
        <v>14019000</v>
      </c>
      <c r="T40" s="89">
        <f>SUM(T41:T44)</f>
        <v>14019000</v>
      </c>
      <c r="U40" s="204">
        <f t="shared" si="10"/>
        <v>29.867968622334356</v>
      </c>
      <c r="V40" s="86">
        <f>SUM(V41:V44)</f>
        <v>32917570</v>
      </c>
      <c r="W40" s="303">
        <f>V40/J40*100</f>
        <v>70.13203137766565</v>
      </c>
      <c r="X40" s="105"/>
      <c r="Y40" s="106"/>
      <c r="Z40" s="45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25" customFormat="1" ht="13.5">
      <c r="A41" s="9"/>
      <c r="B41" s="6" t="s">
        <v>182</v>
      </c>
      <c r="C41" s="9" t="s">
        <v>134</v>
      </c>
      <c r="D41" s="5" t="s">
        <v>37</v>
      </c>
      <c r="E41" s="5" t="s">
        <v>306</v>
      </c>
      <c r="F41" s="5" t="s">
        <v>181</v>
      </c>
      <c r="G41" s="9" t="s">
        <v>28</v>
      </c>
      <c r="H41" s="5" t="s">
        <v>5</v>
      </c>
      <c r="I41" s="9"/>
      <c r="J41" s="265">
        <v>10720000</v>
      </c>
      <c r="K41" s="37"/>
      <c r="L41" s="37"/>
      <c r="M41" s="7" t="s">
        <v>78</v>
      </c>
      <c r="N41" s="112">
        <v>10720000</v>
      </c>
      <c r="O41" s="196">
        <f t="shared" si="7"/>
        <v>100</v>
      </c>
      <c r="P41" s="91" t="s">
        <v>139</v>
      </c>
      <c r="Q41" s="91" t="s">
        <v>318</v>
      </c>
      <c r="R41" s="88"/>
      <c r="S41" s="88">
        <v>10400000</v>
      </c>
      <c r="T41" s="88">
        <f>R41+S41</f>
        <v>10400000</v>
      </c>
      <c r="U41" s="205">
        <f t="shared" si="10"/>
        <v>97.01492537313433</v>
      </c>
      <c r="V41" s="8">
        <f>J41-T41</f>
        <v>320000</v>
      </c>
      <c r="W41" s="304">
        <f>V41/J41*100</f>
        <v>2.9850746268656714</v>
      </c>
      <c r="X41" s="7"/>
      <c r="Y41" s="38"/>
      <c r="Z41" s="46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25" customFormat="1" ht="14.25" customHeight="1">
      <c r="A42" s="9"/>
      <c r="B42" s="73" t="s">
        <v>88</v>
      </c>
      <c r="C42" s="9" t="s">
        <v>113</v>
      </c>
      <c r="D42" s="5" t="s">
        <v>37</v>
      </c>
      <c r="E42" s="5" t="s">
        <v>140</v>
      </c>
      <c r="F42" s="5" t="s">
        <v>181</v>
      </c>
      <c r="G42" s="9" t="s">
        <v>28</v>
      </c>
      <c r="H42" s="5" t="s">
        <v>5</v>
      </c>
      <c r="I42" s="5"/>
      <c r="J42" s="265">
        <v>10500000</v>
      </c>
      <c r="K42" s="7"/>
      <c r="L42" s="7"/>
      <c r="M42" s="7" t="s">
        <v>78</v>
      </c>
      <c r="N42" s="112">
        <f>875000+875000+1460000+1458000</f>
        <v>4668000</v>
      </c>
      <c r="O42" s="196">
        <f t="shared" si="7"/>
        <v>44.457142857142856</v>
      </c>
      <c r="P42" s="91" t="s">
        <v>139</v>
      </c>
      <c r="Q42" s="91" t="s">
        <v>318</v>
      </c>
      <c r="R42" s="88"/>
      <c r="S42" s="88">
        <v>2625000</v>
      </c>
      <c r="T42" s="88">
        <f>R42+S42</f>
        <v>2625000</v>
      </c>
      <c r="U42" s="205">
        <f t="shared" si="10"/>
        <v>25</v>
      </c>
      <c r="V42" s="8">
        <f>J42-T42</f>
        <v>7875000</v>
      </c>
      <c r="W42" s="304">
        <f aca="true" t="shared" si="11" ref="W42:W72">V42/J42*100</f>
        <v>75</v>
      </c>
      <c r="X42" s="7"/>
      <c r="Y42" s="38"/>
      <c r="Z42" s="46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25" customFormat="1" ht="15" customHeight="1">
      <c r="A43" s="9"/>
      <c r="B43" s="73" t="s">
        <v>89</v>
      </c>
      <c r="C43" s="9" t="s">
        <v>109</v>
      </c>
      <c r="D43" s="5" t="s">
        <v>37</v>
      </c>
      <c r="E43" s="5" t="s">
        <v>140</v>
      </c>
      <c r="F43" s="5" t="s">
        <v>181</v>
      </c>
      <c r="G43" s="9" t="s">
        <v>28</v>
      </c>
      <c r="H43" s="5" t="s">
        <v>5</v>
      </c>
      <c r="I43" s="9" t="s">
        <v>28</v>
      </c>
      <c r="J43" s="265">
        <v>5711570</v>
      </c>
      <c r="K43" s="36"/>
      <c r="L43" s="37"/>
      <c r="M43" s="7" t="s">
        <v>78</v>
      </c>
      <c r="N43" s="112">
        <f>475950+475000+500000+500000</f>
        <v>1950950</v>
      </c>
      <c r="O43" s="196">
        <f t="shared" si="7"/>
        <v>34.15785852226271</v>
      </c>
      <c r="P43" s="91" t="s">
        <v>139</v>
      </c>
      <c r="Q43" s="91" t="s">
        <v>318</v>
      </c>
      <c r="R43" s="88"/>
      <c r="S43" s="88">
        <v>994000</v>
      </c>
      <c r="T43" s="88">
        <f aca="true" t="shared" si="12" ref="T43:T72">R43+S43</f>
        <v>994000</v>
      </c>
      <c r="U43" s="205">
        <f t="shared" si="10"/>
        <v>17.40327090449736</v>
      </c>
      <c r="V43" s="8">
        <f aca="true" t="shared" si="13" ref="V43:V72">J43-T43</f>
        <v>4717570</v>
      </c>
      <c r="W43" s="304">
        <f t="shared" si="11"/>
        <v>82.59672909550264</v>
      </c>
      <c r="X43" s="7"/>
      <c r="Y43" s="38"/>
      <c r="Z43" s="46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25" customFormat="1" ht="15" customHeight="1">
      <c r="A44" s="9"/>
      <c r="B44" s="266" t="s">
        <v>183</v>
      </c>
      <c r="C44" s="9" t="s">
        <v>206</v>
      </c>
      <c r="D44" s="5" t="s">
        <v>37</v>
      </c>
      <c r="E44" s="5" t="s">
        <v>140</v>
      </c>
      <c r="F44" s="5" t="s">
        <v>181</v>
      </c>
      <c r="G44" s="9" t="s">
        <v>28</v>
      </c>
      <c r="H44" s="5" t="s">
        <v>5</v>
      </c>
      <c r="I44" s="9"/>
      <c r="J44" s="265">
        <v>20005000</v>
      </c>
      <c r="K44" s="36"/>
      <c r="L44" s="37"/>
      <c r="M44" s="7" t="s">
        <v>78</v>
      </c>
      <c r="N44" s="112">
        <f>1650000+1650000+1650000+1755000</f>
        <v>6705000</v>
      </c>
      <c r="O44" s="196">
        <f t="shared" si="7"/>
        <v>33.516620844788804</v>
      </c>
      <c r="P44" s="91" t="s">
        <v>139</v>
      </c>
      <c r="Q44" s="91" t="s">
        <v>318</v>
      </c>
      <c r="R44" s="88"/>
      <c r="S44" s="88">
        <v>0</v>
      </c>
      <c r="T44" s="88">
        <f t="shared" si="12"/>
        <v>0</v>
      </c>
      <c r="U44" s="205">
        <f t="shared" si="10"/>
        <v>0</v>
      </c>
      <c r="V44" s="8">
        <f t="shared" si="13"/>
        <v>20005000</v>
      </c>
      <c r="W44" s="304">
        <f t="shared" si="11"/>
        <v>100</v>
      </c>
      <c r="X44" s="7"/>
      <c r="Y44" s="38"/>
      <c r="Z44" s="46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26" customFormat="1" ht="15" customHeight="1">
      <c r="A45" s="10"/>
      <c r="B45" s="267" t="s">
        <v>106</v>
      </c>
      <c r="C45" s="159">
        <v>2003</v>
      </c>
      <c r="D45" s="102" t="s">
        <v>37</v>
      </c>
      <c r="E45" s="102" t="s">
        <v>140</v>
      </c>
      <c r="F45" s="102" t="s">
        <v>181</v>
      </c>
      <c r="G45" s="10" t="s">
        <v>28</v>
      </c>
      <c r="H45" s="102" t="s">
        <v>5</v>
      </c>
      <c r="I45" s="10"/>
      <c r="J45" s="264">
        <f>SUM(J46:J52)</f>
        <v>846735000</v>
      </c>
      <c r="K45" s="103"/>
      <c r="L45" s="104"/>
      <c r="M45" s="105"/>
      <c r="N45" s="110">
        <f>SUM(N46:N52)</f>
        <v>276835000</v>
      </c>
      <c r="O45" s="195">
        <f t="shared" si="7"/>
        <v>32.69440852214684</v>
      </c>
      <c r="P45" s="170" t="s">
        <v>139</v>
      </c>
      <c r="Q45" s="170" t="s">
        <v>318</v>
      </c>
      <c r="R45" s="89">
        <f>SUM(R46:R52)</f>
        <v>41400683</v>
      </c>
      <c r="S45" s="89">
        <f>SUM(S46:S52)</f>
        <v>89692899</v>
      </c>
      <c r="T45" s="89">
        <f t="shared" si="12"/>
        <v>131093582</v>
      </c>
      <c r="U45" s="204">
        <f t="shared" si="10"/>
        <v>15.48224438578776</v>
      </c>
      <c r="V45" s="86">
        <f>SUM(V46:V52)</f>
        <v>715641418</v>
      </c>
      <c r="W45" s="303">
        <f t="shared" si="11"/>
        <v>84.51775561421225</v>
      </c>
      <c r="X45" s="105"/>
      <c r="Y45" s="106"/>
      <c r="Z45" s="45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25" customFormat="1" ht="15" customHeight="1">
      <c r="A46" s="9"/>
      <c r="B46" s="266" t="s">
        <v>90</v>
      </c>
      <c r="C46" s="9" t="s">
        <v>110</v>
      </c>
      <c r="D46" s="5" t="s">
        <v>37</v>
      </c>
      <c r="E46" s="5" t="s">
        <v>140</v>
      </c>
      <c r="F46" s="5" t="s">
        <v>181</v>
      </c>
      <c r="G46" s="9" t="s">
        <v>28</v>
      </c>
      <c r="H46" s="5" t="s">
        <v>5</v>
      </c>
      <c r="I46" s="9"/>
      <c r="J46" s="265">
        <v>134160000</v>
      </c>
      <c r="K46" s="36"/>
      <c r="L46" s="37"/>
      <c r="M46" s="7" t="s">
        <v>78</v>
      </c>
      <c r="N46" s="112">
        <f>8080000+8080000+11750000+11750000</f>
        <v>39660000</v>
      </c>
      <c r="O46" s="196">
        <f t="shared" si="7"/>
        <v>29.56171735241503</v>
      </c>
      <c r="P46" s="91" t="s">
        <v>139</v>
      </c>
      <c r="Q46" s="91" t="s">
        <v>318</v>
      </c>
      <c r="R46" s="88">
        <f>4346451+7431071</f>
        <v>11777522</v>
      </c>
      <c r="S46" s="88">
        <v>26832638</v>
      </c>
      <c r="T46" s="88">
        <f>R46+S46</f>
        <v>38610160</v>
      </c>
      <c r="U46" s="205">
        <f aca="true" t="shared" si="14" ref="U46:U72">T46/J46*100</f>
        <v>28.779189028026238</v>
      </c>
      <c r="V46" s="8">
        <f>J46-T46</f>
        <v>95549840</v>
      </c>
      <c r="W46" s="304">
        <f t="shared" si="11"/>
        <v>71.22081097197376</v>
      </c>
      <c r="X46" s="7"/>
      <c r="Y46" s="38"/>
      <c r="Z46" s="46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5" customFormat="1" ht="15" customHeight="1">
      <c r="A47" s="9"/>
      <c r="B47" s="266" t="s">
        <v>184</v>
      </c>
      <c r="C47" s="9" t="s">
        <v>207</v>
      </c>
      <c r="D47" s="5" t="s">
        <v>37</v>
      </c>
      <c r="E47" s="5" t="s">
        <v>140</v>
      </c>
      <c r="F47" s="5" t="s">
        <v>181</v>
      </c>
      <c r="G47" s="9" t="s">
        <v>28</v>
      </c>
      <c r="H47" s="5" t="s">
        <v>5</v>
      </c>
      <c r="I47" s="9"/>
      <c r="J47" s="265">
        <v>48000000</v>
      </c>
      <c r="K47" s="36"/>
      <c r="L47" s="37"/>
      <c r="M47" s="7" t="s">
        <v>221</v>
      </c>
      <c r="N47" s="112">
        <f>4000000+4000000+4000000+4000000</f>
        <v>16000000</v>
      </c>
      <c r="O47" s="196">
        <f t="shared" si="7"/>
        <v>33.33333333333333</v>
      </c>
      <c r="P47" s="91" t="s">
        <v>139</v>
      </c>
      <c r="Q47" s="91" t="s">
        <v>318</v>
      </c>
      <c r="R47" s="88">
        <v>2924450</v>
      </c>
      <c r="S47" s="88">
        <v>5874250</v>
      </c>
      <c r="T47" s="88">
        <f t="shared" si="12"/>
        <v>8798700</v>
      </c>
      <c r="U47" s="205">
        <f t="shared" si="14"/>
        <v>18.330625</v>
      </c>
      <c r="V47" s="8">
        <f t="shared" si="13"/>
        <v>39201300</v>
      </c>
      <c r="W47" s="304">
        <f t="shared" si="11"/>
        <v>81.669375</v>
      </c>
      <c r="X47" s="7"/>
      <c r="Y47" s="38"/>
      <c r="Z47" s="46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25" customFormat="1" ht="15" customHeight="1">
      <c r="A48" s="9"/>
      <c r="B48" s="266" t="s">
        <v>185</v>
      </c>
      <c r="C48" s="9" t="s">
        <v>208</v>
      </c>
      <c r="D48" s="5" t="s">
        <v>37</v>
      </c>
      <c r="E48" s="5" t="s">
        <v>140</v>
      </c>
      <c r="F48" s="5" t="s">
        <v>181</v>
      </c>
      <c r="G48" s="9" t="s">
        <v>28</v>
      </c>
      <c r="H48" s="5" t="s">
        <v>5</v>
      </c>
      <c r="I48" s="9"/>
      <c r="J48" s="265">
        <v>531900000</v>
      </c>
      <c r="K48" s="36"/>
      <c r="L48" s="37"/>
      <c r="M48" s="7" t="s">
        <v>221</v>
      </c>
      <c r="N48" s="112">
        <f>44325000+44325000+44325000+44325000</f>
        <v>177300000</v>
      </c>
      <c r="O48" s="196">
        <f t="shared" si="7"/>
        <v>33.33333333333333</v>
      </c>
      <c r="P48" s="91" t="s">
        <v>139</v>
      </c>
      <c r="Q48" s="91" t="s">
        <v>318</v>
      </c>
      <c r="R48" s="88">
        <v>26698711</v>
      </c>
      <c r="S48" s="88">
        <v>50056011</v>
      </c>
      <c r="T48" s="88">
        <f t="shared" si="12"/>
        <v>76754722</v>
      </c>
      <c r="U48" s="205">
        <f t="shared" si="14"/>
        <v>14.430291784169958</v>
      </c>
      <c r="V48" s="8">
        <f t="shared" si="13"/>
        <v>455145278</v>
      </c>
      <c r="W48" s="304">
        <f t="shared" si="11"/>
        <v>85.56970821583005</v>
      </c>
      <c r="X48" s="7"/>
      <c r="Y48" s="38"/>
      <c r="Z48" s="46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25" customFormat="1" ht="15" customHeight="1">
      <c r="A49" s="9"/>
      <c r="B49" s="266" t="s">
        <v>186</v>
      </c>
      <c r="C49" s="9" t="s">
        <v>209</v>
      </c>
      <c r="D49" s="5" t="s">
        <v>37</v>
      </c>
      <c r="E49" s="5" t="s">
        <v>140</v>
      </c>
      <c r="F49" s="5" t="s">
        <v>181</v>
      </c>
      <c r="G49" s="9" t="s">
        <v>28</v>
      </c>
      <c r="H49" s="5" t="s">
        <v>5</v>
      </c>
      <c r="I49" s="9"/>
      <c r="J49" s="265">
        <v>50400000</v>
      </c>
      <c r="K49" s="36"/>
      <c r="L49" s="37"/>
      <c r="M49" s="7" t="s">
        <v>78</v>
      </c>
      <c r="N49" s="112">
        <f>4200000+4200000+4200000+4200000</f>
        <v>16800000</v>
      </c>
      <c r="O49" s="196">
        <f t="shared" si="7"/>
        <v>33.33333333333333</v>
      </c>
      <c r="P49" s="91" t="s">
        <v>139</v>
      </c>
      <c r="Q49" s="91" t="s">
        <v>318</v>
      </c>
      <c r="R49" s="88"/>
      <c r="S49" s="88">
        <v>5220000</v>
      </c>
      <c r="T49" s="88">
        <f t="shared" si="12"/>
        <v>5220000</v>
      </c>
      <c r="U49" s="205">
        <f t="shared" si="14"/>
        <v>10.357142857142858</v>
      </c>
      <c r="V49" s="8">
        <f t="shared" si="13"/>
        <v>45180000</v>
      </c>
      <c r="W49" s="304">
        <f t="shared" si="11"/>
        <v>89.64285714285715</v>
      </c>
      <c r="X49" s="7"/>
      <c r="Y49" s="38"/>
      <c r="Z49" s="46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25" customFormat="1" ht="15" customHeight="1">
      <c r="A50" s="9"/>
      <c r="B50" s="266" t="s">
        <v>187</v>
      </c>
      <c r="C50" s="9" t="s">
        <v>115</v>
      </c>
      <c r="D50" s="5" t="s">
        <v>37</v>
      </c>
      <c r="E50" s="5" t="s">
        <v>140</v>
      </c>
      <c r="F50" s="5" t="s">
        <v>181</v>
      </c>
      <c r="G50" s="9" t="s">
        <v>28</v>
      </c>
      <c r="H50" s="5" t="s">
        <v>5</v>
      </c>
      <c r="I50" s="9"/>
      <c r="J50" s="265">
        <v>61875000</v>
      </c>
      <c r="K50" s="36"/>
      <c r="L50" s="37"/>
      <c r="M50" s="7" t="s">
        <v>78</v>
      </c>
      <c r="N50" s="112">
        <f>4956250+4956250+5162500+5200000</f>
        <v>20275000</v>
      </c>
      <c r="O50" s="196">
        <f t="shared" si="7"/>
        <v>32.76767676767677</v>
      </c>
      <c r="P50" s="91" t="s">
        <v>139</v>
      </c>
      <c r="Q50" s="91" t="s">
        <v>318</v>
      </c>
      <c r="R50" s="88"/>
      <c r="S50" s="88">
        <v>1500000</v>
      </c>
      <c r="T50" s="88">
        <f t="shared" si="12"/>
        <v>1500000</v>
      </c>
      <c r="U50" s="205">
        <f t="shared" si="14"/>
        <v>2.4242424242424243</v>
      </c>
      <c r="V50" s="8">
        <f t="shared" si="13"/>
        <v>60375000</v>
      </c>
      <c r="W50" s="304">
        <f t="shared" si="11"/>
        <v>97.57575757575758</v>
      </c>
      <c r="X50" s="7"/>
      <c r="Y50" s="38"/>
      <c r="Z50" s="46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25" customFormat="1" ht="27" customHeight="1">
      <c r="A51" s="9"/>
      <c r="B51" s="266" t="s">
        <v>188</v>
      </c>
      <c r="C51" s="9" t="s">
        <v>210</v>
      </c>
      <c r="D51" s="5" t="s">
        <v>37</v>
      </c>
      <c r="E51" s="5" t="s">
        <v>307</v>
      </c>
      <c r="F51" s="5" t="s">
        <v>181</v>
      </c>
      <c r="G51" s="9" t="s">
        <v>28</v>
      </c>
      <c r="H51" s="5" t="s">
        <v>5</v>
      </c>
      <c r="I51" s="9"/>
      <c r="J51" s="265">
        <v>19200000</v>
      </c>
      <c r="K51" s="36"/>
      <c r="L51" s="37"/>
      <c r="M51" s="7" t="s">
        <v>78</v>
      </c>
      <c r="N51" s="112">
        <v>6400000</v>
      </c>
      <c r="O51" s="196">
        <f t="shared" si="7"/>
        <v>33.33333333333333</v>
      </c>
      <c r="P51" s="91" t="s">
        <v>141</v>
      </c>
      <c r="Q51" s="91" t="s">
        <v>318</v>
      </c>
      <c r="R51" s="88"/>
      <c r="S51" s="88">
        <v>0</v>
      </c>
      <c r="T51" s="88">
        <f t="shared" si="12"/>
        <v>0</v>
      </c>
      <c r="U51" s="205">
        <f t="shared" si="14"/>
        <v>0</v>
      </c>
      <c r="V51" s="8">
        <f t="shared" si="13"/>
        <v>19200000</v>
      </c>
      <c r="W51" s="304">
        <f t="shared" si="11"/>
        <v>100</v>
      </c>
      <c r="X51" s="7"/>
      <c r="Y51" s="38"/>
      <c r="Z51" s="46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25" customFormat="1" ht="15" customHeight="1">
      <c r="A52" s="9"/>
      <c r="B52" s="266" t="s">
        <v>189</v>
      </c>
      <c r="C52" s="9" t="s">
        <v>211</v>
      </c>
      <c r="D52" s="5" t="s">
        <v>37</v>
      </c>
      <c r="E52" s="5" t="s">
        <v>140</v>
      </c>
      <c r="F52" s="5" t="s">
        <v>181</v>
      </c>
      <c r="G52" s="9" t="s">
        <v>28</v>
      </c>
      <c r="H52" s="5" t="s">
        <v>5</v>
      </c>
      <c r="I52" s="9"/>
      <c r="J52" s="265">
        <v>1200000</v>
      </c>
      <c r="K52" s="36"/>
      <c r="L52" s="37"/>
      <c r="M52" s="7" t="s">
        <v>78</v>
      </c>
      <c r="N52" s="112">
        <f>100000+100000+100000+100000</f>
        <v>400000</v>
      </c>
      <c r="O52" s="196">
        <f>N52/J52*100</f>
        <v>33.33333333333333</v>
      </c>
      <c r="P52" s="91" t="s">
        <v>139</v>
      </c>
      <c r="Q52" s="91" t="s">
        <v>318</v>
      </c>
      <c r="R52" s="88"/>
      <c r="S52" s="88">
        <v>210000</v>
      </c>
      <c r="T52" s="88">
        <f t="shared" si="12"/>
        <v>210000</v>
      </c>
      <c r="U52" s="205">
        <f t="shared" si="14"/>
        <v>17.5</v>
      </c>
      <c r="V52" s="8">
        <f>J52-T52</f>
        <v>990000</v>
      </c>
      <c r="W52" s="304">
        <f t="shared" si="11"/>
        <v>82.5</v>
      </c>
      <c r="X52" s="7"/>
      <c r="Y52" s="38"/>
      <c r="Z52" s="46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s="26" customFormat="1" ht="15" customHeight="1">
      <c r="A53" s="10"/>
      <c r="B53" s="267" t="s">
        <v>91</v>
      </c>
      <c r="C53" s="10" t="s">
        <v>116</v>
      </c>
      <c r="D53" s="102" t="s">
        <v>37</v>
      </c>
      <c r="E53" s="102" t="s">
        <v>140</v>
      </c>
      <c r="F53" s="102" t="s">
        <v>181</v>
      </c>
      <c r="G53" s="10" t="s">
        <v>28</v>
      </c>
      <c r="H53" s="102" t="s">
        <v>5</v>
      </c>
      <c r="I53" s="10"/>
      <c r="J53" s="264">
        <f>SUM(J54:J55)</f>
        <v>88295280</v>
      </c>
      <c r="K53" s="103"/>
      <c r="L53" s="104"/>
      <c r="M53" s="105"/>
      <c r="N53" s="110">
        <f>SUM(N54:N55)</f>
        <v>32210700</v>
      </c>
      <c r="O53" s="195">
        <f>N53/J53*100</f>
        <v>36.48065898879306</v>
      </c>
      <c r="P53" s="170" t="s">
        <v>139</v>
      </c>
      <c r="Q53" s="170" t="s">
        <v>318</v>
      </c>
      <c r="R53" s="89">
        <f>SUM(R54:R55)</f>
        <v>6343360</v>
      </c>
      <c r="S53" s="89">
        <f>SUM(S54:S55)</f>
        <v>11893800</v>
      </c>
      <c r="T53" s="89">
        <f t="shared" si="12"/>
        <v>18237160</v>
      </c>
      <c r="U53" s="204">
        <f t="shared" si="14"/>
        <v>20.654739415289246</v>
      </c>
      <c r="V53" s="86">
        <f>SUM(V54:V55)</f>
        <v>70058120</v>
      </c>
      <c r="W53" s="303">
        <f t="shared" si="11"/>
        <v>79.34526058471076</v>
      </c>
      <c r="X53" s="105"/>
      <c r="Y53" s="106"/>
      <c r="Z53" s="45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25" customFormat="1" ht="15" customHeight="1">
      <c r="A54" s="9"/>
      <c r="B54" s="266" t="s">
        <v>190</v>
      </c>
      <c r="C54" s="9" t="s">
        <v>212</v>
      </c>
      <c r="D54" s="5" t="s">
        <v>37</v>
      </c>
      <c r="E54" s="5" t="s">
        <v>140</v>
      </c>
      <c r="F54" s="5" t="s">
        <v>181</v>
      </c>
      <c r="G54" s="9" t="s">
        <v>28</v>
      </c>
      <c r="H54" s="5" t="s">
        <v>5</v>
      </c>
      <c r="I54" s="9"/>
      <c r="J54" s="265">
        <v>79688460</v>
      </c>
      <c r="K54" s="36"/>
      <c r="L54" s="37"/>
      <c r="M54" s="7" t="s">
        <v>78</v>
      </c>
      <c r="N54" s="306">
        <v>29341760</v>
      </c>
      <c r="O54" s="196">
        <f>N54/J54*100</f>
        <v>36.82058857706624</v>
      </c>
      <c r="P54" s="91" t="s">
        <v>139</v>
      </c>
      <c r="Q54" s="91" t="s">
        <v>318</v>
      </c>
      <c r="R54" s="88">
        <v>6343360</v>
      </c>
      <c r="S54" s="88">
        <v>11893800</v>
      </c>
      <c r="T54" s="88">
        <f t="shared" si="12"/>
        <v>18237160</v>
      </c>
      <c r="U54" s="205">
        <f t="shared" si="14"/>
        <v>22.885572139303484</v>
      </c>
      <c r="V54" s="8">
        <f>J54-T54</f>
        <v>61451300</v>
      </c>
      <c r="W54" s="304">
        <f t="shared" si="11"/>
        <v>77.11442786069652</v>
      </c>
      <c r="X54" s="7"/>
      <c r="Y54" s="38"/>
      <c r="Z54" s="46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s="25" customFormat="1" ht="15" customHeight="1">
      <c r="A55" s="9"/>
      <c r="B55" s="266" t="s">
        <v>191</v>
      </c>
      <c r="C55" s="9" t="s">
        <v>143</v>
      </c>
      <c r="D55" s="5" t="s">
        <v>37</v>
      </c>
      <c r="E55" s="5" t="s">
        <v>140</v>
      </c>
      <c r="F55" s="5" t="s">
        <v>181</v>
      </c>
      <c r="G55" s="9" t="s">
        <v>28</v>
      </c>
      <c r="H55" s="5" t="s">
        <v>5</v>
      </c>
      <c r="I55" s="9"/>
      <c r="J55" s="265">
        <v>8606820</v>
      </c>
      <c r="K55" s="36"/>
      <c r="L55" s="37"/>
      <c r="M55" s="7" t="s">
        <v>78</v>
      </c>
      <c r="N55" s="305">
        <v>2868940</v>
      </c>
      <c r="O55" s="196">
        <f>N55/J55*100</f>
        <v>33.33333333333333</v>
      </c>
      <c r="P55" s="91" t="s">
        <v>139</v>
      </c>
      <c r="Q55" s="91" t="s">
        <v>318</v>
      </c>
      <c r="R55" s="88"/>
      <c r="S55" s="88">
        <v>0</v>
      </c>
      <c r="T55" s="88">
        <f t="shared" si="12"/>
        <v>0</v>
      </c>
      <c r="U55" s="204">
        <f t="shared" si="14"/>
        <v>0</v>
      </c>
      <c r="V55" s="8">
        <f t="shared" si="13"/>
        <v>8606820</v>
      </c>
      <c r="W55" s="304">
        <f t="shared" si="11"/>
        <v>100</v>
      </c>
      <c r="X55" s="7"/>
      <c r="Y55" s="38"/>
      <c r="Z55" s="46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26" customFormat="1" ht="15" customHeight="1">
      <c r="A56" s="10"/>
      <c r="B56" s="267" t="s">
        <v>92</v>
      </c>
      <c r="C56" s="10" t="s">
        <v>117</v>
      </c>
      <c r="D56" s="102" t="s">
        <v>37</v>
      </c>
      <c r="E56" s="102" t="s">
        <v>140</v>
      </c>
      <c r="F56" s="102" t="s">
        <v>181</v>
      </c>
      <c r="G56" s="10" t="s">
        <v>28</v>
      </c>
      <c r="H56" s="102" t="s">
        <v>5</v>
      </c>
      <c r="I56" s="10"/>
      <c r="J56" s="264">
        <f>SUM(J57:J58)</f>
        <v>149121500</v>
      </c>
      <c r="K56" s="103"/>
      <c r="L56" s="104"/>
      <c r="M56" s="105"/>
      <c r="N56" s="175">
        <f>N57+N58</f>
        <v>50670000</v>
      </c>
      <c r="O56" s="195">
        <f aca="true" t="shared" si="15" ref="O56:O72">N56/J56*100</f>
        <v>33.97900369832653</v>
      </c>
      <c r="P56" s="170" t="s">
        <v>139</v>
      </c>
      <c r="Q56" s="170" t="s">
        <v>318</v>
      </c>
      <c r="R56" s="89">
        <f>SUM(R57:R58)</f>
        <v>5362500</v>
      </c>
      <c r="S56" s="89">
        <f>SUM(S57:S58)</f>
        <v>15348700</v>
      </c>
      <c r="T56" s="89">
        <f t="shared" si="12"/>
        <v>20711200</v>
      </c>
      <c r="U56" s="204">
        <f t="shared" si="14"/>
        <v>13.88880879014763</v>
      </c>
      <c r="V56" s="86">
        <f>SUM(V57:V58)</f>
        <v>128410300</v>
      </c>
      <c r="W56" s="303">
        <f t="shared" si="11"/>
        <v>86.11119120985236</v>
      </c>
      <c r="X56" s="105"/>
      <c r="Y56" s="106"/>
      <c r="Z56" s="45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25" customFormat="1" ht="15" customHeight="1">
      <c r="A57" s="9"/>
      <c r="B57" s="266" t="s">
        <v>192</v>
      </c>
      <c r="C57" s="9" t="s">
        <v>136</v>
      </c>
      <c r="D57" s="5" t="s">
        <v>37</v>
      </c>
      <c r="E57" s="5" t="s">
        <v>140</v>
      </c>
      <c r="F57" s="5" t="s">
        <v>181</v>
      </c>
      <c r="G57" s="9" t="s">
        <v>28</v>
      </c>
      <c r="H57" s="5" t="s">
        <v>5</v>
      </c>
      <c r="I57" s="9"/>
      <c r="J57" s="265">
        <v>147651500</v>
      </c>
      <c r="K57" s="36"/>
      <c r="L57" s="37"/>
      <c r="M57" s="7" t="s">
        <v>78</v>
      </c>
      <c r="N57" s="305">
        <f>12300000+12300000+12300000+12300000</f>
        <v>49200000</v>
      </c>
      <c r="O57" s="196">
        <f t="shared" si="15"/>
        <v>33.32170685702482</v>
      </c>
      <c r="P57" s="91" t="s">
        <v>139</v>
      </c>
      <c r="Q57" s="91" t="s">
        <v>318</v>
      </c>
      <c r="R57" s="88">
        <v>5362500</v>
      </c>
      <c r="S57" s="88">
        <v>14715000</v>
      </c>
      <c r="T57" s="88">
        <f>R57+S57</f>
        <v>20077500</v>
      </c>
      <c r="U57" s="205">
        <f t="shared" si="14"/>
        <v>13.597897752477964</v>
      </c>
      <c r="V57" s="8">
        <f t="shared" si="13"/>
        <v>127574000</v>
      </c>
      <c r="W57" s="304">
        <f t="shared" si="11"/>
        <v>86.40210224752204</v>
      </c>
      <c r="X57" s="7"/>
      <c r="Y57" s="38"/>
      <c r="Z57" s="46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5" customFormat="1" ht="27">
      <c r="A58" s="9"/>
      <c r="B58" s="266" t="s">
        <v>193</v>
      </c>
      <c r="C58" s="9" t="s">
        <v>118</v>
      </c>
      <c r="D58" s="5" t="s">
        <v>37</v>
      </c>
      <c r="E58" s="5" t="s">
        <v>140</v>
      </c>
      <c r="F58" s="5" t="s">
        <v>181</v>
      </c>
      <c r="G58" s="9" t="s">
        <v>28</v>
      </c>
      <c r="H58" s="5" t="s">
        <v>5</v>
      </c>
      <c r="I58" s="9"/>
      <c r="J58" s="265">
        <v>1470000</v>
      </c>
      <c r="K58" s="36"/>
      <c r="L58" s="37"/>
      <c r="M58" s="7" t="s">
        <v>78</v>
      </c>
      <c r="N58" s="112">
        <f>1470000</f>
        <v>1470000</v>
      </c>
      <c r="O58" s="196">
        <f t="shared" si="15"/>
        <v>100</v>
      </c>
      <c r="P58" s="91" t="s">
        <v>139</v>
      </c>
      <c r="Q58" s="91" t="s">
        <v>318</v>
      </c>
      <c r="R58" s="88"/>
      <c r="S58" s="88">
        <v>633700</v>
      </c>
      <c r="T58" s="88">
        <f t="shared" si="12"/>
        <v>633700</v>
      </c>
      <c r="U58" s="205">
        <f t="shared" si="14"/>
        <v>43.10884353741496</v>
      </c>
      <c r="V58" s="8">
        <f t="shared" si="13"/>
        <v>836300</v>
      </c>
      <c r="W58" s="304">
        <f t="shared" si="11"/>
        <v>56.89115646258504</v>
      </c>
      <c r="X58" s="7"/>
      <c r="Y58" s="38"/>
      <c r="Z58" s="46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26" customFormat="1" ht="15" customHeight="1">
      <c r="A59" s="10"/>
      <c r="B59" s="267" t="s">
        <v>194</v>
      </c>
      <c r="C59" s="10" t="s">
        <v>213</v>
      </c>
      <c r="D59" s="102" t="s">
        <v>37</v>
      </c>
      <c r="E59" s="102" t="s">
        <v>306</v>
      </c>
      <c r="F59" s="102" t="s">
        <v>181</v>
      </c>
      <c r="G59" s="10" t="s">
        <v>28</v>
      </c>
      <c r="H59" s="102" t="s">
        <v>5</v>
      </c>
      <c r="I59" s="10"/>
      <c r="J59" s="264">
        <f>SUM(J60:J63)</f>
        <v>44468000</v>
      </c>
      <c r="K59" s="103"/>
      <c r="L59" s="104"/>
      <c r="M59" s="105"/>
      <c r="N59" s="110">
        <f>SUM(N60:N63)</f>
        <v>44468000</v>
      </c>
      <c r="O59" s="195">
        <f t="shared" si="15"/>
        <v>100</v>
      </c>
      <c r="P59" s="170" t="s">
        <v>139</v>
      </c>
      <c r="Q59" s="170" t="s">
        <v>139</v>
      </c>
      <c r="R59" s="89">
        <f>SUM(R60:R63)</f>
        <v>0</v>
      </c>
      <c r="S59" s="89">
        <v>0</v>
      </c>
      <c r="T59" s="89">
        <f t="shared" si="12"/>
        <v>0</v>
      </c>
      <c r="U59" s="204">
        <f t="shared" si="14"/>
        <v>0</v>
      </c>
      <c r="V59" s="86">
        <f>SUM(V60:V63)</f>
        <v>44468000</v>
      </c>
      <c r="W59" s="303">
        <f t="shared" si="11"/>
        <v>100</v>
      </c>
      <c r="X59" s="105"/>
      <c r="Y59" s="106"/>
      <c r="Z59" s="45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25" customFormat="1" ht="15" customHeight="1">
      <c r="A60" s="9"/>
      <c r="B60" s="266" t="s">
        <v>195</v>
      </c>
      <c r="C60" s="9" t="s">
        <v>214</v>
      </c>
      <c r="D60" s="5" t="s">
        <v>37</v>
      </c>
      <c r="E60" s="5" t="s">
        <v>306</v>
      </c>
      <c r="F60" s="5" t="s">
        <v>181</v>
      </c>
      <c r="G60" s="9" t="s">
        <v>28</v>
      </c>
      <c r="H60" s="5" t="s">
        <v>5</v>
      </c>
      <c r="I60" s="9"/>
      <c r="J60" s="265">
        <v>14000000</v>
      </c>
      <c r="K60" s="36"/>
      <c r="L60" s="37"/>
      <c r="M60" s="7" t="s">
        <v>221</v>
      </c>
      <c r="N60" s="112">
        <v>14000000</v>
      </c>
      <c r="O60" s="196">
        <f t="shared" si="15"/>
        <v>100</v>
      </c>
      <c r="P60" s="91" t="s">
        <v>139</v>
      </c>
      <c r="Q60" s="91" t="s">
        <v>139</v>
      </c>
      <c r="R60" s="88"/>
      <c r="S60" s="88">
        <v>0</v>
      </c>
      <c r="T60" s="88">
        <f t="shared" si="12"/>
        <v>0</v>
      </c>
      <c r="U60" s="204">
        <f t="shared" si="14"/>
        <v>0</v>
      </c>
      <c r="V60" s="8">
        <f t="shared" si="13"/>
        <v>14000000</v>
      </c>
      <c r="W60" s="304">
        <f t="shared" si="11"/>
        <v>100</v>
      </c>
      <c r="X60" s="7"/>
      <c r="Y60" s="38"/>
      <c r="Z60" s="46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s="25" customFormat="1" ht="15" customHeight="1">
      <c r="A61" s="9"/>
      <c r="B61" s="266" t="s">
        <v>196</v>
      </c>
      <c r="C61" s="9" t="s">
        <v>215</v>
      </c>
      <c r="D61" s="5" t="s">
        <v>37</v>
      </c>
      <c r="E61" s="5" t="s">
        <v>306</v>
      </c>
      <c r="F61" s="5" t="s">
        <v>181</v>
      </c>
      <c r="G61" s="9" t="s">
        <v>28</v>
      </c>
      <c r="H61" s="5" t="s">
        <v>5</v>
      </c>
      <c r="I61" s="9"/>
      <c r="J61" s="265">
        <v>12000000</v>
      </c>
      <c r="K61" s="36"/>
      <c r="L61" s="37"/>
      <c r="M61" s="7" t="s">
        <v>221</v>
      </c>
      <c r="N61" s="112">
        <v>12000000</v>
      </c>
      <c r="O61" s="196">
        <f t="shared" si="15"/>
        <v>100</v>
      </c>
      <c r="P61" s="91" t="s">
        <v>139</v>
      </c>
      <c r="Q61" s="91" t="s">
        <v>139</v>
      </c>
      <c r="R61" s="88"/>
      <c r="S61" s="88">
        <v>0</v>
      </c>
      <c r="T61" s="88">
        <f t="shared" si="12"/>
        <v>0</v>
      </c>
      <c r="U61" s="204">
        <f t="shared" si="14"/>
        <v>0</v>
      </c>
      <c r="V61" s="8">
        <f t="shared" si="13"/>
        <v>12000000</v>
      </c>
      <c r="W61" s="304">
        <f t="shared" si="11"/>
        <v>100</v>
      </c>
      <c r="X61" s="7"/>
      <c r="Y61" s="38"/>
      <c r="Z61" s="46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s="25" customFormat="1" ht="15" customHeight="1">
      <c r="A62" s="9"/>
      <c r="B62" s="266" t="s">
        <v>197</v>
      </c>
      <c r="C62" s="9" t="s">
        <v>216</v>
      </c>
      <c r="D62" s="5" t="s">
        <v>37</v>
      </c>
      <c r="E62" s="5" t="s">
        <v>306</v>
      </c>
      <c r="F62" s="5" t="s">
        <v>181</v>
      </c>
      <c r="G62" s="9" t="s">
        <v>28</v>
      </c>
      <c r="H62" s="5" t="s">
        <v>5</v>
      </c>
      <c r="I62" s="9"/>
      <c r="J62" s="265">
        <v>6468000</v>
      </c>
      <c r="K62" s="36"/>
      <c r="L62" s="37"/>
      <c r="M62" s="7" t="s">
        <v>221</v>
      </c>
      <c r="N62" s="112">
        <v>6468000</v>
      </c>
      <c r="O62" s="196">
        <f t="shared" si="15"/>
        <v>100</v>
      </c>
      <c r="P62" s="91" t="s">
        <v>139</v>
      </c>
      <c r="Q62" s="91" t="s">
        <v>139</v>
      </c>
      <c r="R62" s="88"/>
      <c r="S62" s="88">
        <v>0</v>
      </c>
      <c r="T62" s="88">
        <f t="shared" si="12"/>
        <v>0</v>
      </c>
      <c r="U62" s="204">
        <f t="shared" si="14"/>
        <v>0</v>
      </c>
      <c r="V62" s="8">
        <f t="shared" si="13"/>
        <v>6468000</v>
      </c>
      <c r="W62" s="304">
        <f t="shared" si="11"/>
        <v>100</v>
      </c>
      <c r="X62" s="7"/>
      <c r="Y62" s="38"/>
      <c r="Z62" s="46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s="25" customFormat="1" ht="15" customHeight="1">
      <c r="A63" s="9"/>
      <c r="B63" s="266" t="s">
        <v>198</v>
      </c>
      <c r="C63" s="9" t="s">
        <v>217</v>
      </c>
      <c r="D63" s="5" t="s">
        <v>37</v>
      </c>
      <c r="E63" s="5" t="s">
        <v>306</v>
      </c>
      <c r="F63" s="5" t="s">
        <v>181</v>
      </c>
      <c r="G63" s="9" t="s">
        <v>28</v>
      </c>
      <c r="H63" s="5" t="s">
        <v>5</v>
      </c>
      <c r="I63" s="9"/>
      <c r="J63" s="265">
        <v>12000000</v>
      </c>
      <c r="K63" s="36"/>
      <c r="L63" s="37"/>
      <c r="M63" s="7" t="s">
        <v>221</v>
      </c>
      <c r="N63" s="112">
        <v>12000000</v>
      </c>
      <c r="O63" s="196">
        <f t="shared" si="15"/>
        <v>100</v>
      </c>
      <c r="P63" s="91" t="s">
        <v>139</v>
      </c>
      <c r="Q63" s="91" t="s">
        <v>139</v>
      </c>
      <c r="R63" s="88"/>
      <c r="S63" s="88">
        <v>0</v>
      </c>
      <c r="T63" s="88">
        <f t="shared" si="12"/>
        <v>0</v>
      </c>
      <c r="U63" s="204">
        <f t="shared" si="14"/>
        <v>0</v>
      </c>
      <c r="V63" s="8">
        <f t="shared" si="13"/>
        <v>12000000</v>
      </c>
      <c r="W63" s="304">
        <f t="shared" si="11"/>
        <v>100</v>
      </c>
      <c r="X63" s="7"/>
      <c r="Y63" s="38"/>
      <c r="Z63" s="46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s="26" customFormat="1" ht="15" customHeight="1">
      <c r="A64" s="10"/>
      <c r="B64" s="267" t="s">
        <v>199</v>
      </c>
      <c r="C64" s="10" t="s">
        <v>218</v>
      </c>
      <c r="D64" s="102" t="s">
        <v>37</v>
      </c>
      <c r="E64" s="102" t="s">
        <v>306</v>
      </c>
      <c r="F64" s="102" t="s">
        <v>181</v>
      </c>
      <c r="G64" s="10" t="s">
        <v>28</v>
      </c>
      <c r="H64" s="102" t="s">
        <v>5</v>
      </c>
      <c r="I64" s="10"/>
      <c r="J64" s="264">
        <f>SUM(J65:J66)</f>
        <v>64500000</v>
      </c>
      <c r="K64" s="103"/>
      <c r="L64" s="104"/>
      <c r="M64" s="105"/>
      <c r="N64" s="110">
        <f>SUM(N65:N66)</f>
        <v>64500000</v>
      </c>
      <c r="O64" s="195">
        <f t="shared" si="15"/>
        <v>100</v>
      </c>
      <c r="P64" s="170" t="s">
        <v>139</v>
      </c>
      <c r="Q64" s="170" t="s">
        <v>139</v>
      </c>
      <c r="R64" s="89">
        <f>SUM(R65:R66)</f>
        <v>0</v>
      </c>
      <c r="S64" s="89">
        <v>0</v>
      </c>
      <c r="T64" s="89">
        <f t="shared" si="12"/>
        <v>0</v>
      </c>
      <c r="U64" s="204">
        <f t="shared" si="14"/>
        <v>0</v>
      </c>
      <c r="V64" s="86">
        <f>SUM(V65:V66)</f>
        <v>64500000</v>
      </c>
      <c r="W64" s="303">
        <f t="shared" si="11"/>
        <v>100</v>
      </c>
      <c r="X64" s="105"/>
      <c r="Y64" s="106"/>
      <c r="Z64" s="45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25" customFormat="1" ht="15" customHeight="1">
      <c r="A65" s="9"/>
      <c r="B65" s="266" t="s">
        <v>200</v>
      </c>
      <c r="C65" s="9" t="s">
        <v>219</v>
      </c>
      <c r="D65" s="5" t="s">
        <v>37</v>
      </c>
      <c r="E65" s="5" t="s">
        <v>306</v>
      </c>
      <c r="F65" s="5" t="s">
        <v>181</v>
      </c>
      <c r="G65" s="9" t="s">
        <v>28</v>
      </c>
      <c r="H65" s="5" t="s">
        <v>5</v>
      </c>
      <c r="I65" s="9"/>
      <c r="J65" s="265">
        <v>60000000</v>
      </c>
      <c r="K65" s="36"/>
      <c r="L65" s="37"/>
      <c r="M65" s="7" t="s">
        <v>221</v>
      </c>
      <c r="N65" s="112">
        <v>60000000</v>
      </c>
      <c r="O65" s="196">
        <f t="shared" si="15"/>
        <v>100</v>
      </c>
      <c r="P65" s="91" t="s">
        <v>139</v>
      </c>
      <c r="Q65" s="91" t="s">
        <v>139</v>
      </c>
      <c r="R65" s="88"/>
      <c r="S65" s="88">
        <v>0</v>
      </c>
      <c r="T65" s="88">
        <f t="shared" si="12"/>
        <v>0</v>
      </c>
      <c r="U65" s="204">
        <f t="shared" si="14"/>
        <v>0</v>
      </c>
      <c r="V65" s="8">
        <f t="shared" si="13"/>
        <v>60000000</v>
      </c>
      <c r="W65" s="304">
        <f t="shared" si="11"/>
        <v>100</v>
      </c>
      <c r="X65" s="7"/>
      <c r="Y65" s="38"/>
      <c r="Z65" s="46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s="25" customFormat="1" ht="15" customHeight="1">
      <c r="A66" s="9"/>
      <c r="B66" s="266" t="s">
        <v>201</v>
      </c>
      <c r="C66" s="9" t="s">
        <v>220</v>
      </c>
      <c r="D66" s="5" t="s">
        <v>37</v>
      </c>
      <c r="E66" s="5" t="s">
        <v>308</v>
      </c>
      <c r="F66" s="5" t="s">
        <v>181</v>
      </c>
      <c r="G66" s="9" t="s">
        <v>28</v>
      </c>
      <c r="H66" s="5" t="s">
        <v>5</v>
      </c>
      <c r="I66" s="9"/>
      <c r="J66" s="265">
        <v>4500000</v>
      </c>
      <c r="K66" s="36"/>
      <c r="L66" s="37"/>
      <c r="M66" s="7" t="s">
        <v>78</v>
      </c>
      <c r="N66" s="112">
        <v>4500000</v>
      </c>
      <c r="O66" s="196">
        <f t="shared" si="15"/>
        <v>100</v>
      </c>
      <c r="P66" s="91" t="s">
        <v>139</v>
      </c>
      <c r="Q66" s="91" t="s">
        <v>139</v>
      </c>
      <c r="R66" s="88"/>
      <c r="S66" s="88">
        <v>0</v>
      </c>
      <c r="T66" s="88">
        <f t="shared" si="12"/>
        <v>0</v>
      </c>
      <c r="U66" s="204">
        <f t="shared" si="14"/>
        <v>0</v>
      </c>
      <c r="V66" s="8">
        <f t="shared" si="13"/>
        <v>4500000</v>
      </c>
      <c r="W66" s="304">
        <f t="shared" si="11"/>
        <v>100</v>
      </c>
      <c r="X66" s="7"/>
      <c r="Y66" s="38"/>
      <c r="Z66" s="46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s="26" customFormat="1" ht="15" customHeight="1">
      <c r="A67" s="10"/>
      <c r="B67" s="267" t="s">
        <v>93</v>
      </c>
      <c r="C67" s="10" t="s">
        <v>119</v>
      </c>
      <c r="D67" s="102" t="s">
        <v>37</v>
      </c>
      <c r="E67" s="102" t="s">
        <v>140</v>
      </c>
      <c r="F67" s="102" t="s">
        <v>181</v>
      </c>
      <c r="G67" s="10" t="s">
        <v>28</v>
      </c>
      <c r="H67" s="102" t="s">
        <v>5</v>
      </c>
      <c r="I67" s="10"/>
      <c r="J67" s="264">
        <f>SUM(J68:J69)</f>
        <v>1880959000</v>
      </c>
      <c r="K67" s="103"/>
      <c r="L67" s="104"/>
      <c r="M67" s="105"/>
      <c r="N67" s="110">
        <f>SUM(N68:N69)</f>
        <v>673450000</v>
      </c>
      <c r="O67" s="195">
        <f t="shared" si="15"/>
        <v>35.80354489385468</v>
      </c>
      <c r="P67" s="170" t="s">
        <v>139</v>
      </c>
      <c r="Q67" s="170" t="s">
        <v>139</v>
      </c>
      <c r="R67" s="89">
        <f>SUM(R68:R69)</f>
        <v>125748256</v>
      </c>
      <c r="S67" s="89">
        <f>SUM(S68:S69)</f>
        <v>214344008</v>
      </c>
      <c r="T67" s="89">
        <f t="shared" si="12"/>
        <v>340092264</v>
      </c>
      <c r="U67" s="204">
        <f t="shared" si="14"/>
        <v>18.08079091569779</v>
      </c>
      <c r="V67" s="86">
        <f>SUM(V68:V69)</f>
        <v>1540866736</v>
      </c>
      <c r="W67" s="303">
        <f t="shared" si="11"/>
        <v>81.91920908430221</v>
      </c>
      <c r="X67" s="105"/>
      <c r="Y67" s="106"/>
      <c r="Z67" s="45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25" customFormat="1" ht="15" customHeight="1">
      <c r="A68" s="9"/>
      <c r="B68" s="266" t="s">
        <v>202</v>
      </c>
      <c r="C68" s="9" t="s">
        <v>120</v>
      </c>
      <c r="D68" s="5" t="s">
        <v>37</v>
      </c>
      <c r="E68" s="5" t="s">
        <v>140</v>
      </c>
      <c r="F68" s="5" t="s">
        <v>181</v>
      </c>
      <c r="G68" s="9" t="s">
        <v>28</v>
      </c>
      <c r="H68" s="5" t="s">
        <v>5</v>
      </c>
      <c r="I68" s="9"/>
      <c r="J68" s="265">
        <v>220350000</v>
      </c>
      <c r="K68" s="36"/>
      <c r="L68" s="37"/>
      <c r="M68" s="7" t="s">
        <v>78</v>
      </c>
      <c r="N68" s="112">
        <f>18362500+18362500+18362500+18362500</f>
        <v>73450000</v>
      </c>
      <c r="O68" s="196">
        <f t="shared" si="15"/>
        <v>33.33333333333333</v>
      </c>
      <c r="P68" s="91" t="s">
        <v>139</v>
      </c>
      <c r="Q68" s="91" t="s">
        <v>139</v>
      </c>
      <c r="R68" s="88">
        <v>23110000</v>
      </c>
      <c r="S68" s="88">
        <v>33060000</v>
      </c>
      <c r="T68" s="88">
        <f t="shared" si="12"/>
        <v>56170000</v>
      </c>
      <c r="U68" s="205">
        <f t="shared" si="14"/>
        <v>25.491263898343547</v>
      </c>
      <c r="V68" s="8">
        <f t="shared" si="13"/>
        <v>164180000</v>
      </c>
      <c r="W68" s="304">
        <f t="shared" si="11"/>
        <v>74.50873610165645</v>
      </c>
      <c r="X68" s="7"/>
      <c r="Y68" s="38"/>
      <c r="Z68" s="46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s="25" customFormat="1" ht="15" customHeight="1">
      <c r="A69" s="9"/>
      <c r="B69" s="266" t="s">
        <v>203</v>
      </c>
      <c r="C69" s="9" t="s">
        <v>121</v>
      </c>
      <c r="D69" s="5" t="s">
        <v>37</v>
      </c>
      <c r="E69" s="5" t="s">
        <v>140</v>
      </c>
      <c r="F69" s="5" t="s">
        <v>181</v>
      </c>
      <c r="G69" s="9" t="s">
        <v>28</v>
      </c>
      <c r="H69" s="5" t="s">
        <v>5</v>
      </c>
      <c r="I69" s="9"/>
      <c r="J69" s="265">
        <v>1660609000</v>
      </c>
      <c r="K69" s="36"/>
      <c r="L69" s="37"/>
      <c r="M69" s="7" t="s">
        <v>78</v>
      </c>
      <c r="N69" s="112">
        <f>150000000+150000000+150000000+150000000</f>
        <v>600000000</v>
      </c>
      <c r="O69" s="196">
        <f t="shared" si="15"/>
        <v>36.131322906235006</v>
      </c>
      <c r="P69" s="91" t="s">
        <v>139</v>
      </c>
      <c r="Q69" s="91" t="s">
        <v>139</v>
      </c>
      <c r="R69" s="88">
        <f>61364400+41273856</f>
        <v>102638256</v>
      </c>
      <c r="S69" s="88">
        <v>181284008</v>
      </c>
      <c r="T69" s="88">
        <f t="shared" si="12"/>
        <v>283922264</v>
      </c>
      <c r="U69" s="205">
        <f t="shared" si="14"/>
        <v>17.097478334755504</v>
      </c>
      <c r="V69" s="8">
        <f t="shared" si="13"/>
        <v>1376686736</v>
      </c>
      <c r="W69" s="304">
        <f t="shared" si="11"/>
        <v>82.9025216652445</v>
      </c>
      <c r="X69" s="7"/>
      <c r="Y69" s="38"/>
      <c r="Z69" s="46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s="26" customFormat="1" ht="15" customHeight="1">
      <c r="A70" s="10"/>
      <c r="B70" s="267" t="s">
        <v>204</v>
      </c>
      <c r="C70" s="10" t="s">
        <v>122</v>
      </c>
      <c r="D70" s="102" t="s">
        <v>37</v>
      </c>
      <c r="E70" s="102" t="s">
        <v>140</v>
      </c>
      <c r="F70" s="102" t="s">
        <v>181</v>
      </c>
      <c r="G70" s="10" t="s">
        <v>28</v>
      </c>
      <c r="H70" s="102" t="s">
        <v>5</v>
      </c>
      <c r="I70" s="10"/>
      <c r="J70" s="264">
        <f>SUM(J71:J72)</f>
        <v>1006120000</v>
      </c>
      <c r="K70" s="103"/>
      <c r="L70" s="104"/>
      <c r="M70" s="105"/>
      <c r="N70" s="110">
        <f>SUM(N71:N72)</f>
        <v>339720000</v>
      </c>
      <c r="O70" s="195">
        <f t="shared" si="15"/>
        <v>33.76535602115056</v>
      </c>
      <c r="P70" s="170" t="s">
        <v>139</v>
      </c>
      <c r="Q70" s="170" t="s">
        <v>139</v>
      </c>
      <c r="R70" s="89">
        <f>R71+R72</f>
        <v>85227000</v>
      </c>
      <c r="S70" s="89">
        <f>S71+S72</f>
        <v>222438000</v>
      </c>
      <c r="T70" s="89">
        <f t="shared" si="12"/>
        <v>307665000</v>
      </c>
      <c r="U70" s="204">
        <f t="shared" si="14"/>
        <v>30.57935435136962</v>
      </c>
      <c r="V70" s="86">
        <f>SUM(V71:V72)</f>
        <v>698455000</v>
      </c>
      <c r="W70" s="303">
        <f t="shared" si="11"/>
        <v>69.42064564863038</v>
      </c>
      <c r="X70" s="105"/>
      <c r="Y70" s="106"/>
      <c r="Z70" s="45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25" customFormat="1" ht="15" customHeight="1">
      <c r="A71" s="9"/>
      <c r="B71" s="266" t="s">
        <v>205</v>
      </c>
      <c r="C71" s="9" t="s">
        <v>123</v>
      </c>
      <c r="D71" s="5" t="s">
        <v>37</v>
      </c>
      <c r="E71" s="5" t="s">
        <v>140</v>
      </c>
      <c r="F71" s="5" t="s">
        <v>181</v>
      </c>
      <c r="G71" s="9" t="s">
        <v>28</v>
      </c>
      <c r="H71" s="5" t="s">
        <v>5</v>
      </c>
      <c r="I71" s="9"/>
      <c r="J71" s="265">
        <v>940800000</v>
      </c>
      <c r="K71" s="36"/>
      <c r="L71" s="37"/>
      <c r="M71" s="7" t="s">
        <v>78</v>
      </c>
      <c r="N71" s="112">
        <f>78800000+78800000+78400000+78400000</f>
        <v>314400000</v>
      </c>
      <c r="O71" s="196">
        <f t="shared" si="15"/>
        <v>33.41836734693878</v>
      </c>
      <c r="P71" s="91" t="s">
        <v>139</v>
      </c>
      <c r="Q71" s="91" t="s">
        <v>139</v>
      </c>
      <c r="R71" s="88">
        <v>76900000</v>
      </c>
      <c r="S71" s="88">
        <v>214100000</v>
      </c>
      <c r="T71" s="88">
        <f t="shared" si="12"/>
        <v>291000000</v>
      </c>
      <c r="U71" s="205">
        <f t="shared" si="14"/>
        <v>30.931122448979593</v>
      </c>
      <c r="V71" s="8">
        <f t="shared" si="13"/>
        <v>649800000</v>
      </c>
      <c r="W71" s="304">
        <f t="shared" si="11"/>
        <v>69.0688775510204</v>
      </c>
      <c r="X71" s="7"/>
      <c r="Y71" s="38"/>
      <c r="Z71" s="46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s="25" customFormat="1" ht="15" customHeight="1">
      <c r="A72" s="208"/>
      <c r="B72" s="266" t="s">
        <v>95</v>
      </c>
      <c r="C72" s="268" t="s">
        <v>124</v>
      </c>
      <c r="D72" s="5" t="s">
        <v>37</v>
      </c>
      <c r="E72" s="5" t="s">
        <v>140</v>
      </c>
      <c r="F72" s="5" t="s">
        <v>181</v>
      </c>
      <c r="G72" s="9" t="s">
        <v>28</v>
      </c>
      <c r="H72" s="5" t="s">
        <v>5</v>
      </c>
      <c r="I72" s="269"/>
      <c r="J72" s="265">
        <v>65320000</v>
      </c>
      <c r="K72" s="269"/>
      <c r="L72" s="269"/>
      <c r="M72" s="7" t="s">
        <v>78</v>
      </c>
      <c r="N72" s="209">
        <f>8344000+8344000+4132000+4500000</f>
        <v>25320000</v>
      </c>
      <c r="O72" s="196">
        <f t="shared" si="15"/>
        <v>38.7630128597673</v>
      </c>
      <c r="P72" s="91" t="s">
        <v>139</v>
      </c>
      <c r="Q72" s="91" t="s">
        <v>139</v>
      </c>
      <c r="R72" s="88">
        <v>8327000</v>
      </c>
      <c r="S72" s="88">
        <v>8338000</v>
      </c>
      <c r="T72" s="88">
        <f t="shared" si="12"/>
        <v>16665000</v>
      </c>
      <c r="U72" s="205">
        <f t="shared" si="14"/>
        <v>25.51285976729945</v>
      </c>
      <c r="V72" s="8">
        <f t="shared" si="13"/>
        <v>48655000</v>
      </c>
      <c r="W72" s="304">
        <f t="shared" si="11"/>
        <v>74.48714023270055</v>
      </c>
      <c r="X72" s="7"/>
      <c r="Y72" s="38"/>
      <c r="Z72" s="46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s="26" customFormat="1" ht="13.5">
      <c r="A73" s="348" t="s">
        <v>19</v>
      </c>
      <c r="B73" s="352" t="s">
        <v>17</v>
      </c>
      <c r="C73" s="350"/>
      <c r="D73" s="350"/>
      <c r="E73" s="350"/>
      <c r="F73" s="350"/>
      <c r="G73" s="350"/>
      <c r="H73" s="350"/>
      <c r="I73" s="350"/>
      <c r="J73" s="351">
        <f>J75</f>
        <v>2016052000</v>
      </c>
      <c r="K73" s="351"/>
      <c r="L73" s="351"/>
      <c r="M73" s="351"/>
      <c r="N73" s="353">
        <f>N75</f>
        <v>673484000</v>
      </c>
      <c r="O73" s="355"/>
      <c r="P73" s="351"/>
      <c r="Q73" s="351"/>
      <c r="R73" s="353">
        <f>R75</f>
        <v>85081252</v>
      </c>
      <c r="S73" s="353">
        <f>S75</f>
        <v>194270378</v>
      </c>
      <c r="T73" s="353">
        <f>T75</f>
        <v>279351630</v>
      </c>
      <c r="U73" s="357">
        <f>T73/J73*100</f>
        <v>13.85637027219536</v>
      </c>
      <c r="V73" s="351">
        <f>V75</f>
        <v>1736700370</v>
      </c>
      <c r="W73" s="357">
        <f>T73/J73*100</f>
        <v>13.85637027219536</v>
      </c>
      <c r="X73" s="351"/>
      <c r="Y73" s="106"/>
      <c r="Z73" s="45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26" customFormat="1" ht="12" customHeight="1">
      <c r="A74" s="348"/>
      <c r="B74" s="35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54"/>
      <c r="O74" s="356"/>
      <c r="P74" s="348"/>
      <c r="Q74" s="348"/>
      <c r="R74" s="354"/>
      <c r="S74" s="354"/>
      <c r="T74" s="354"/>
      <c r="U74" s="358"/>
      <c r="V74" s="348"/>
      <c r="W74" s="358"/>
      <c r="X74" s="348"/>
      <c r="Y74" s="52"/>
      <c r="Z74" s="45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140" customFormat="1" ht="27.75" customHeight="1">
      <c r="A75" s="142"/>
      <c r="B75" s="143" t="s">
        <v>96</v>
      </c>
      <c r="C75" s="144" t="s">
        <v>125</v>
      </c>
      <c r="D75" s="132" t="s">
        <v>37</v>
      </c>
      <c r="E75" s="132" t="s">
        <v>140</v>
      </c>
      <c r="F75" s="132" t="s">
        <v>75</v>
      </c>
      <c r="G75" s="130" t="s">
        <v>28</v>
      </c>
      <c r="H75" s="132" t="s">
        <v>5</v>
      </c>
      <c r="I75" s="142"/>
      <c r="J75" s="145">
        <f>J76+J83</f>
        <v>2016052000</v>
      </c>
      <c r="K75" s="142"/>
      <c r="L75" s="142"/>
      <c r="M75" s="142"/>
      <c r="N75" s="146">
        <f>N76+N83</f>
        <v>673484000</v>
      </c>
      <c r="O75" s="197"/>
      <c r="P75" s="142"/>
      <c r="Q75" s="142"/>
      <c r="R75" s="146">
        <f>R76+R83</f>
        <v>85081252</v>
      </c>
      <c r="S75" s="146">
        <f>S76+S83</f>
        <v>194270378</v>
      </c>
      <c r="T75" s="146">
        <f>T76+T83</f>
        <v>279351630</v>
      </c>
      <c r="U75" s="190">
        <f aca="true" t="shared" si="16" ref="U75:U84">T75/J75*100</f>
        <v>13.85637027219536</v>
      </c>
      <c r="V75" s="174">
        <f>V76+V83</f>
        <v>1736700370</v>
      </c>
      <c r="W75" s="190">
        <f>T75/J75*100</f>
        <v>13.85637027219536</v>
      </c>
      <c r="X75" s="142"/>
      <c r="Y75" s="41"/>
      <c r="Z75" s="45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126" customFormat="1" ht="15" customHeight="1">
      <c r="A76" s="147"/>
      <c r="B76" s="129" t="s">
        <v>83</v>
      </c>
      <c r="C76" s="161"/>
      <c r="D76" s="120"/>
      <c r="E76" s="120"/>
      <c r="F76" s="120"/>
      <c r="G76" s="118"/>
      <c r="H76" s="120"/>
      <c r="I76" s="147"/>
      <c r="J76" s="162">
        <f>J77+J79+J81</f>
        <v>29124000</v>
      </c>
      <c r="K76" s="162"/>
      <c r="L76" s="162"/>
      <c r="M76" s="162"/>
      <c r="N76" s="162">
        <f aca="true" t="shared" si="17" ref="N76:T76">N77+N79+N81</f>
        <v>9708000</v>
      </c>
      <c r="O76" s="211"/>
      <c r="P76" s="162"/>
      <c r="Q76" s="162"/>
      <c r="R76" s="148">
        <f t="shared" si="17"/>
        <v>0</v>
      </c>
      <c r="S76" s="148">
        <f t="shared" si="17"/>
        <v>1350000</v>
      </c>
      <c r="T76" s="148">
        <f t="shared" si="17"/>
        <v>1350000</v>
      </c>
      <c r="U76" s="212">
        <f t="shared" si="16"/>
        <v>4.635352286773794</v>
      </c>
      <c r="V76" s="162">
        <f>V77+V79+V81</f>
        <v>27774000</v>
      </c>
      <c r="W76" s="212">
        <f>V76/J76*100</f>
        <v>95.3646477132262</v>
      </c>
      <c r="X76" s="162"/>
      <c r="Y76" s="41"/>
      <c r="Z76" s="45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26" s="43" customFormat="1" ht="15" customHeight="1">
      <c r="A77" s="29"/>
      <c r="B77" s="96" t="s">
        <v>149</v>
      </c>
      <c r="C77" s="163">
        <v>1001</v>
      </c>
      <c r="D77" s="107" t="s">
        <v>76</v>
      </c>
      <c r="E77" s="107" t="s">
        <v>140</v>
      </c>
      <c r="F77" s="107" t="s">
        <v>75</v>
      </c>
      <c r="G77" s="108" t="s">
        <v>28</v>
      </c>
      <c r="H77" s="107" t="s">
        <v>5</v>
      </c>
      <c r="I77" s="29"/>
      <c r="J77" s="243">
        <f>J78</f>
        <v>8100000</v>
      </c>
      <c r="K77" s="29"/>
      <c r="L77" s="29"/>
      <c r="M77" s="29"/>
      <c r="N77" s="90">
        <f>N78</f>
        <v>2700000</v>
      </c>
      <c r="O77" s="200">
        <f aca="true" t="shared" si="18" ref="O77:O82">N77/J77*100</f>
        <v>33.33333333333333</v>
      </c>
      <c r="P77" s="90" t="str">
        <f>P78</f>
        <v>jan</v>
      </c>
      <c r="Q77" s="90" t="s">
        <v>318</v>
      </c>
      <c r="R77" s="90">
        <f>R78</f>
        <v>0</v>
      </c>
      <c r="S77" s="90">
        <f>S78</f>
        <v>1350000</v>
      </c>
      <c r="T77" s="90">
        <f>T78</f>
        <v>1350000</v>
      </c>
      <c r="U77" s="160">
        <f t="shared" si="16"/>
        <v>16.666666666666664</v>
      </c>
      <c r="V77" s="90">
        <f>V78</f>
        <v>6750000</v>
      </c>
      <c r="W77" s="164">
        <f aca="true" t="shared" si="19" ref="W77:W82">V77/J77*100</f>
        <v>83.33333333333334</v>
      </c>
      <c r="X77" s="90"/>
      <c r="Y77" s="41"/>
      <c r="Z77" s="45"/>
    </row>
    <row r="78" spans="1:26" s="44" customFormat="1" ht="12.75" customHeight="1">
      <c r="A78" s="27"/>
      <c r="B78" s="6" t="s">
        <v>148</v>
      </c>
      <c r="C78" s="35" t="s">
        <v>147</v>
      </c>
      <c r="D78" s="84" t="s">
        <v>76</v>
      </c>
      <c r="E78" s="84" t="s">
        <v>140</v>
      </c>
      <c r="F78" s="84" t="s">
        <v>75</v>
      </c>
      <c r="G78" s="87" t="s">
        <v>28</v>
      </c>
      <c r="H78" s="84" t="s">
        <v>5</v>
      </c>
      <c r="I78" s="27"/>
      <c r="J78" s="248">
        <v>8100000</v>
      </c>
      <c r="K78" s="27"/>
      <c r="L78" s="27"/>
      <c r="M78" s="27" t="s">
        <v>78</v>
      </c>
      <c r="N78" s="149">
        <f>675000+675000+675000+675000</f>
        <v>2700000</v>
      </c>
      <c r="O78" s="200">
        <f t="shared" si="18"/>
        <v>33.33333333333333</v>
      </c>
      <c r="P78" s="91" t="s">
        <v>139</v>
      </c>
      <c r="Q78" s="91" t="s">
        <v>318</v>
      </c>
      <c r="R78" s="149"/>
      <c r="S78" s="149">
        <v>1350000</v>
      </c>
      <c r="T78" s="149">
        <f>R78+S78</f>
        <v>1350000</v>
      </c>
      <c r="U78" s="164">
        <f t="shared" si="16"/>
        <v>16.666666666666664</v>
      </c>
      <c r="V78" s="149">
        <f>J78-T78</f>
        <v>6750000</v>
      </c>
      <c r="W78" s="164">
        <f t="shared" si="19"/>
        <v>83.33333333333334</v>
      </c>
      <c r="X78" s="27"/>
      <c r="Y78" s="165"/>
      <c r="Z78" s="46"/>
    </row>
    <row r="79" spans="1:26" s="43" customFormat="1" ht="12.75" customHeight="1">
      <c r="A79" s="29"/>
      <c r="B79" s="242" t="s">
        <v>222</v>
      </c>
      <c r="C79" s="210" t="s">
        <v>225</v>
      </c>
      <c r="D79" s="107" t="s">
        <v>76</v>
      </c>
      <c r="E79" s="107" t="s">
        <v>140</v>
      </c>
      <c r="F79" s="107" t="s">
        <v>75</v>
      </c>
      <c r="G79" s="108" t="s">
        <v>28</v>
      </c>
      <c r="H79" s="107" t="s">
        <v>5</v>
      </c>
      <c r="I79" s="29"/>
      <c r="J79" s="243">
        <f>J80</f>
        <v>18000000</v>
      </c>
      <c r="K79" s="29"/>
      <c r="L79" s="29"/>
      <c r="M79" s="29"/>
      <c r="N79" s="90">
        <f>N80</f>
        <v>6000000</v>
      </c>
      <c r="O79" s="200">
        <f t="shared" si="18"/>
        <v>33.33333333333333</v>
      </c>
      <c r="P79" s="90" t="str">
        <f aca="true" t="shared" si="20" ref="P79:V79">P80</f>
        <v>jan</v>
      </c>
      <c r="Q79" s="90" t="s">
        <v>318</v>
      </c>
      <c r="R79" s="90">
        <f t="shared" si="20"/>
        <v>0</v>
      </c>
      <c r="S79" s="90">
        <f t="shared" si="20"/>
        <v>0</v>
      </c>
      <c r="T79" s="90">
        <f t="shared" si="20"/>
        <v>0</v>
      </c>
      <c r="U79" s="164">
        <f t="shared" si="16"/>
        <v>0</v>
      </c>
      <c r="V79" s="90">
        <f t="shared" si="20"/>
        <v>18000000</v>
      </c>
      <c r="W79" s="164">
        <f t="shared" si="19"/>
        <v>100</v>
      </c>
      <c r="X79" s="90"/>
      <c r="Y79" s="41"/>
      <c r="Z79" s="45"/>
    </row>
    <row r="80" spans="1:26" s="44" customFormat="1" ht="12.75" customHeight="1">
      <c r="A80" s="27"/>
      <c r="B80" s="247" t="s">
        <v>223</v>
      </c>
      <c r="C80" s="35" t="s">
        <v>226</v>
      </c>
      <c r="D80" s="84" t="s">
        <v>76</v>
      </c>
      <c r="E80" s="84" t="s">
        <v>140</v>
      </c>
      <c r="F80" s="84" t="s">
        <v>75</v>
      </c>
      <c r="G80" s="87" t="s">
        <v>28</v>
      </c>
      <c r="H80" s="84" t="s">
        <v>5</v>
      </c>
      <c r="I80" s="27"/>
      <c r="J80" s="248">
        <v>18000000</v>
      </c>
      <c r="K80" s="27"/>
      <c r="L80" s="27"/>
      <c r="M80" s="27" t="s">
        <v>78</v>
      </c>
      <c r="N80" s="149">
        <f>1500000+1500000+1500000+1500000</f>
        <v>6000000</v>
      </c>
      <c r="O80" s="200">
        <f t="shared" si="18"/>
        <v>33.33333333333333</v>
      </c>
      <c r="P80" s="91" t="s">
        <v>139</v>
      </c>
      <c r="Q80" s="91" t="s">
        <v>318</v>
      </c>
      <c r="R80" s="149"/>
      <c r="S80" s="149"/>
      <c r="T80" s="149"/>
      <c r="U80" s="164">
        <f t="shared" si="16"/>
        <v>0</v>
      </c>
      <c r="V80" s="149">
        <f>J80-T80</f>
        <v>18000000</v>
      </c>
      <c r="W80" s="164">
        <f t="shared" si="19"/>
        <v>100</v>
      </c>
      <c r="X80" s="27"/>
      <c r="Y80" s="165"/>
      <c r="Z80" s="46"/>
    </row>
    <row r="81" spans="1:26" s="43" customFormat="1" ht="12.75" customHeight="1">
      <c r="A81" s="29"/>
      <c r="B81" s="242" t="s">
        <v>160</v>
      </c>
      <c r="C81" s="210" t="s">
        <v>227</v>
      </c>
      <c r="D81" s="107" t="s">
        <v>76</v>
      </c>
      <c r="E81" s="107" t="s">
        <v>140</v>
      </c>
      <c r="F81" s="107" t="s">
        <v>75</v>
      </c>
      <c r="G81" s="108" t="s">
        <v>28</v>
      </c>
      <c r="H81" s="107" t="s">
        <v>5</v>
      </c>
      <c r="I81" s="29"/>
      <c r="J81" s="243">
        <f>J82</f>
        <v>3024000</v>
      </c>
      <c r="K81" s="29"/>
      <c r="L81" s="29"/>
      <c r="M81" s="29"/>
      <c r="N81" s="90">
        <f>N82</f>
        <v>1008000</v>
      </c>
      <c r="O81" s="200">
        <f t="shared" si="18"/>
        <v>33.33333333333333</v>
      </c>
      <c r="P81" s="90" t="str">
        <f aca="true" t="shared" si="21" ref="P81:V81">P82</f>
        <v>jan</v>
      </c>
      <c r="Q81" s="90" t="s">
        <v>318</v>
      </c>
      <c r="R81" s="90">
        <f t="shared" si="21"/>
        <v>0</v>
      </c>
      <c r="S81" s="90">
        <f t="shared" si="21"/>
        <v>0</v>
      </c>
      <c r="T81" s="90">
        <f t="shared" si="21"/>
        <v>0</v>
      </c>
      <c r="U81" s="164">
        <f t="shared" si="16"/>
        <v>0</v>
      </c>
      <c r="V81" s="90">
        <f t="shared" si="21"/>
        <v>3024000</v>
      </c>
      <c r="W81" s="164">
        <f t="shared" si="19"/>
        <v>100</v>
      </c>
      <c r="X81" s="90"/>
      <c r="Y81" s="41"/>
      <c r="Z81" s="45"/>
    </row>
    <row r="82" spans="1:26" s="44" customFormat="1" ht="12.75" customHeight="1">
      <c r="A82" s="27"/>
      <c r="B82" s="247" t="s">
        <v>224</v>
      </c>
      <c r="C82" s="35" t="s">
        <v>207</v>
      </c>
      <c r="D82" s="84" t="s">
        <v>76</v>
      </c>
      <c r="E82" s="84" t="s">
        <v>140</v>
      </c>
      <c r="F82" s="84" t="s">
        <v>75</v>
      </c>
      <c r="G82" s="87" t="s">
        <v>28</v>
      </c>
      <c r="H82" s="84" t="s">
        <v>5</v>
      </c>
      <c r="I82" s="27"/>
      <c r="J82" s="248">
        <v>3024000</v>
      </c>
      <c r="K82" s="27"/>
      <c r="L82" s="27"/>
      <c r="M82" s="27" t="s">
        <v>78</v>
      </c>
      <c r="N82" s="149">
        <f>252000+252000+252000+252000</f>
        <v>1008000</v>
      </c>
      <c r="O82" s="200">
        <f t="shared" si="18"/>
        <v>33.33333333333333</v>
      </c>
      <c r="P82" s="91" t="s">
        <v>139</v>
      </c>
      <c r="Q82" s="91" t="s">
        <v>318</v>
      </c>
      <c r="R82" s="149"/>
      <c r="S82" s="149"/>
      <c r="T82" s="149"/>
      <c r="U82" s="164">
        <f t="shared" si="16"/>
        <v>0</v>
      </c>
      <c r="V82" s="181">
        <f>J82-T82</f>
        <v>3024000</v>
      </c>
      <c r="W82" s="164">
        <f t="shared" si="19"/>
        <v>100</v>
      </c>
      <c r="X82" s="27"/>
      <c r="Y82" s="165"/>
      <c r="Z82" s="46"/>
    </row>
    <row r="83" spans="1:35" s="126" customFormat="1" ht="16.5" customHeight="1">
      <c r="A83" s="118"/>
      <c r="B83" s="127" t="s">
        <v>79</v>
      </c>
      <c r="C83" s="118"/>
      <c r="D83" s="120"/>
      <c r="E83" s="120"/>
      <c r="F83" s="120"/>
      <c r="G83" s="118"/>
      <c r="H83" s="120"/>
      <c r="I83" s="118" t="s">
        <v>28</v>
      </c>
      <c r="J83" s="121">
        <f>J84+J86+J89+J92+J94+J100</f>
        <v>1986928000</v>
      </c>
      <c r="K83" s="121"/>
      <c r="L83" s="121"/>
      <c r="M83" s="121"/>
      <c r="N83" s="121">
        <f aca="true" t="shared" si="22" ref="N83:V83">N84+N86+N89+N92+N94+N100</f>
        <v>663776000</v>
      </c>
      <c r="O83" s="299">
        <f>N83/J83*100</f>
        <v>33.40714912669206</v>
      </c>
      <c r="P83" s="121"/>
      <c r="Q83" s="121"/>
      <c r="R83" s="123">
        <f t="shared" si="22"/>
        <v>85081252</v>
      </c>
      <c r="S83" s="123">
        <f t="shared" si="22"/>
        <v>192920378</v>
      </c>
      <c r="T83" s="123">
        <f>T84+T86+T89+T92+T94+T100</f>
        <v>278001630</v>
      </c>
      <c r="U83" s="300">
        <f t="shared" si="16"/>
        <v>13.991530141001588</v>
      </c>
      <c r="V83" s="121">
        <f t="shared" si="22"/>
        <v>1708926370</v>
      </c>
      <c r="W83" s="300">
        <f>V83/J83*100</f>
        <v>86.00846985899841</v>
      </c>
      <c r="X83" s="121"/>
      <c r="Y83" s="41"/>
      <c r="Z83" s="45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26" customFormat="1" ht="13.5">
      <c r="A84" s="10"/>
      <c r="B84" s="83" t="s">
        <v>97</v>
      </c>
      <c r="C84" s="10" t="s">
        <v>126</v>
      </c>
      <c r="D84" s="102" t="s">
        <v>37</v>
      </c>
      <c r="E84" s="102" t="s">
        <v>140</v>
      </c>
      <c r="F84" s="84" t="s">
        <v>75</v>
      </c>
      <c r="G84" s="10" t="s">
        <v>28</v>
      </c>
      <c r="H84" s="102" t="s">
        <v>5</v>
      </c>
      <c r="I84" s="10"/>
      <c r="J84" s="98">
        <f>J85</f>
        <v>1373100000</v>
      </c>
      <c r="K84" s="98"/>
      <c r="L84" s="98"/>
      <c r="M84" s="98"/>
      <c r="N84" s="98">
        <f>N85</f>
        <v>457700000</v>
      </c>
      <c r="O84" s="195">
        <f>N84/J84*100</f>
        <v>33.33333333333333</v>
      </c>
      <c r="P84" s="170" t="s">
        <v>139</v>
      </c>
      <c r="Q84" s="170" t="s">
        <v>318</v>
      </c>
      <c r="R84" s="109">
        <f>R85</f>
        <v>56161252</v>
      </c>
      <c r="S84" s="109">
        <f>S85</f>
        <v>129170378</v>
      </c>
      <c r="T84" s="109">
        <f>T85</f>
        <v>185331630</v>
      </c>
      <c r="U84" s="307">
        <f t="shared" si="16"/>
        <v>13.497314835044788</v>
      </c>
      <c r="V84" s="176">
        <f>V85</f>
        <v>1187768370</v>
      </c>
      <c r="W84" s="191">
        <f>V84/J84*100</f>
        <v>86.50268516495521</v>
      </c>
      <c r="X84" s="105"/>
      <c r="Y84" s="106"/>
      <c r="Z84" s="45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25" customFormat="1" ht="13.5">
      <c r="A85" s="9"/>
      <c r="B85" s="34" t="s">
        <v>98</v>
      </c>
      <c r="C85" s="9" t="s">
        <v>127</v>
      </c>
      <c r="D85" s="5" t="s">
        <v>37</v>
      </c>
      <c r="E85" s="5" t="s">
        <v>140</v>
      </c>
      <c r="F85" s="84" t="s">
        <v>75</v>
      </c>
      <c r="G85" s="9" t="s">
        <v>28</v>
      </c>
      <c r="H85" s="5" t="s">
        <v>5</v>
      </c>
      <c r="I85" s="9" t="s">
        <v>28</v>
      </c>
      <c r="J85" s="11">
        <v>1373100000</v>
      </c>
      <c r="K85" s="82"/>
      <c r="L85" s="37"/>
      <c r="M85" s="7" t="s">
        <v>78</v>
      </c>
      <c r="N85" s="112">
        <f>114425000+114425000+114425000+114425000</f>
        <v>457700000</v>
      </c>
      <c r="O85" s="196">
        <f aca="true" t="shared" si="23" ref="O85:O102">N85/J85*100</f>
        <v>33.33333333333333</v>
      </c>
      <c r="P85" s="91" t="s">
        <v>139</v>
      </c>
      <c r="Q85" s="91" t="s">
        <v>318</v>
      </c>
      <c r="R85" s="12">
        <v>56161252</v>
      </c>
      <c r="S85" s="12">
        <v>129170378</v>
      </c>
      <c r="T85" s="12">
        <f>R85+S85</f>
        <v>185331630</v>
      </c>
      <c r="U85" s="191">
        <f aca="true" t="shared" si="24" ref="U85:U102">T85/J85*100</f>
        <v>13.497314835044788</v>
      </c>
      <c r="V85" s="181">
        <f>J85-T85</f>
        <v>1187768370</v>
      </c>
      <c r="W85" s="191">
        <f aca="true" t="shared" si="25" ref="W85:W102">V85/J85*100</f>
        <v>86.50268516495521</v>
      </c>
      <c r="X85" s="7"/>
      <c r="Y85" s="38"/>
      <c r="Z85" s="46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s="26" customFormat="1" ht="13.5">
      <c r="A86" s="10"/>
      <c r="B86" s="28" t="s">
        <v>94</v>
      </c>
      <c r="C86" s="10" t="s">
        <v>122</v>
      </c>
      <c r="D86" s="102" t="s">
        <v>37</v>
      </c>
      <c r="E86" s="102" t="s">
        <v>140</v>
      </c>
      <c r="F86" s="84" t="s">
        <v>75</v>
      </c>
      <c r="G86" s="10" t="s">
        <v>28</v>
      </c>
      <c r="H86" s="102" t="s">
        <v>5</v>
      </c>
      <c r="I86" s="10"/>
      <c r="J86" s="98">
        <f>J87+J88</f>
        <v>282178000</v>
      </c>
      <c r="K86" s="98"/>
      <c r="L86" s="98"/>
      <c r="M86" s="98"/>
      <c r="N86" s="98">
        <f>N87+N88</f>
        <v>74556000</v>
      </c>
      <c r="O86" s="195">
        <f t="shared" si="23"/>
        <v>26.421620395636797</v>
      </c>
      <c r="P86" s="170" t="s">
        <v>139</v>
      </c>
      <c r="Q86" s="170" t="s">
        <v>318</v>
      </c>
      <c r="R86" s="109">
        <f>R87</f>
        <v>19500000</v>
      </c>
      <c r="S86" s="109">
        <f>S87</f>
        <v>54000000</v>
      </c>
      <c r="T86" s="109">
        <f>T87</f>
        <v>73500000</v>
      </c>
      <c r="U86" s="307">
        <f t="shared" si="24"/>
        <v>26.04738852780869</v>
      </c>
      <c r="V86" s="176">
        <f>V88+V87</f>
        <v>208678000</v>
      </c>
      <c r="W86" s="191">
        <f>V86/J86*100</f>
        <v>73.95261147219131</v>
      </c>
      <c r="X86" s="105"/>
      <c r="Y86" s="106"/>
      <c r="Z86" s="45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25" customFormat="1" ht="13.5">
      <c r="A87" s="9"/>
      <c r="B87" s="34" t="s">
        <v>99</v>
      </c>
      <c r="C87" s="9" t="s">
        <v>123</v>
      </c>
      <c r="D87" s="5" t="s">
        <v>37</v>
      </c>
      <c r="E87" s="5" t="s">
        <v>140</v>
      </c>
      <c r="F87" s="84" t="s">
        <v>75</v>
      </c>
      <c r="G87" s="9" t="s">
        <v>28</v>
      </c>
      <c r="H87" s="5" t="s">
        <v>5</v>
      </c>
      <c r="I87" s="9"/>
      <c r="J87" s="11">
        <v>234000000</v>
      </c>
      <c r="K87" s="82"/>
      <c r="L87" s="37"/>
      <c r="M87" s="7" t="s">
        <v>78</v>
      </c>
      <c r="N87" s="112">
        <f>19500000+19500000+19500000</f>
        <v>58500000</v>
      </c>
      <c r="O87" s="196">
        <f t="shared" si="23"/>
        <v>25</v>
      </c>
      <c r="P87" s="91" t="s">
        <v>139</v>
      </c>
      <c r="Q87" s="91" t="s">
        <v>318</v>
      </c>
      <c r="R87" s="12">
        <v>19500000</v>
      </c>
      <c r="S87" s="12">
        <v>54000000</v>
      </c>
      <c r="T87" s="12">
        <f>R87+S87</f>
        <v>73500000</v>
      </c>
      <c r="U87" s="191">
        <f t="shared" si="24"/>
        <v>31.41025641025641</v>
      </c>
      <c r="V87" s="181">
        <f>J87-T87</f>
        <v>160500000</v>
      </c>
      <c r="W87" s="191">
        <f t="shared" si="25"/>
        <v>68.58974358974359</v>
      </c>
      <c r="X87" s="7"/>
      <c r="Y87" s="38"/>
      <c r="Z87" s="46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s="25" customFormat="1" ht="13.5">
      <c r="A88" s="9"/>
      <c r="B88" s="34" t="s">
        <v>95</v>
      </c>
      <c r="C88" s="9" t="s">
        <v>124</v>
      </c>
      <c r="D88" s="5" t="s">
        <v>37</v>
      </c>
      <c r="E88" s="5" t="s">
        <v>140</v>
      </c>
      <c r="F88" s="84" t="s">
        <v>75</v>
      </c>
      <c r="G88" s="9" t="s">
        <v>28</v>
      </c>
      <c r="H88" s="5" t="s">
        <v>5</v>
      </c>
      <c r="I88" s="9"/>
      <c r="J88" s="11">
        <v>48178000</v>
      </c>
      <c r="K88" s="82"/>
      <c r="L88" s="37"/>
      <c r="M88" s="7" t="s">
        <v>78</v>
      </c>
      <c r="N88" s="112">
        <f>4014000+4014000+4014000+4014000</f>
        <v>16056000</v>
      </c>
      <c r="O88" s="196">
        <f t="shared" si="23"/>
        <v>33.326414546058366</v>
      </c>
      <c r="P88" s="91" t="s">
        <v>139</v>
      </c>
      <c r="Q88" s="91" t="s">
        <v>318</v>
      </c>
      <c r="R88" s="12"/>
      <c r="S88" s="12"/>
      <c r="T88" s="12"/>
      <c r="U88" s="191">
        <f t="shared" si="24"/>
        <v>0</v>
      </c>
      <c r="V88" s="181">
        <f>J88-T88</f>
        <v>48178000</v>
      </c>
      <c r="W88" s="191">
        <f t="shared" si="25"/>
        <v>100</v>
      </c>
      <c r="X88" s="7"/>
      <c r="Y88" s="38"/>
      <c r="Z88" s="46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s="26" customFormat="1" ht="13.5">
      <c r="A89" s="10"/>
      <c r="B89" s="28" t="s">
        <v>228</v>
      </c>
      <c r="C89" s="159" t="s">
        <v>231</v>
      </c>
      <c r="D89" s="102" t="s">
        <v>37</v>
      </c>
      <c r="E89" s="102" t="s">
        <v>140</v>
      </c>
      <c r="F89" s="107" t="s">
        <v>75</v>
      </c>
      <c r="G89" s="10" t="s">
        <v>28</v>
      </c>
      <c r="H89" s="102" t="s">
        <v>5</v>
      </c>
      <c r="I89" s="10"/>
      <c r="J89" s="98">
        <f>SUM(J90:J91)</f>
        <v>24500000</v>
      </c>
      <c r="K89" s="98"/>
      <c r="L89" s="98"/>
      <c r="M89" s="98"/>
      <c r="N89" s="98">
        <f>SUM(N90:N93)</f>
        <v>10500000</v>
      </c>
      <c r="O89" s="195">
        <f t="shared" si="23"/>
        <v>42.857142857142854</v>
      </c>
      <c r="P89" s="170" t="s">
        <v>139</v>
      </c>
      <c r="Q89" s="170" t="s">
        <v>318</v>
      </c>
      <c r="R89" s="110">
        <f>SUM(R90:R93)</f>
        <v>950000</v>
      </c>
      <c r="S89" s="110">
        <f>SUM(S90:S93)</f>
        <v>0</v>
      </c>
      <c r="T89" s="110">
        <f>SUM(T90:T93)</f>
        <v>950000</v>
      </c>
      <c r="U89" s="307">
        <f t="shared" si="24"/>
        <v>3.877551020408163</v>
      </c>
      <c r="V89" s="98">
        <f>SUM(V90:V91)</f>
        <v>23550000</v>
      </c>
      <c r="W89" s="191">
        <f t="shared" si="25"/>
        <v>96.12244897959184</v>
      </c>
      <c r="X89" s="98">
        <f>SUM(X90:X93)</f>
        <v>0</v>
      </c>
      <c r="Y89" s="106"/>
      <c r="Z89" s="45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25" customFormat="1" ht="13.5">
      <c r="A90" s="9"/>
      <c r="B90" s="247" t="s">
        <v>229</v>
      </c>
      <c r="C90" s="158" t="s">
        <v>232</v>
      </c>
      <c r="D90" s="5" t="s">
        <v>37</v>
      </c>
      <c r="E90" s="5" t="s">
        <v>140</v>
      </c>
      <c r="F90" s="84" t="s">
        <v>75</v>
      </c>
      <c r="G90" s="9" t="s">
        <v>28</v>
      </c>
      <c r="H90" s="5" t="s">
        <v>5</v>
      </c>
      <c r="I90" s="9"/>
      <c r="J90" s="11">
        <v>12000000</v>
      </c>
      <c r="K90" s="82"/>
      <c r="L90" s="37"/>
      <c r="M90" s="7" t="s">
        <v>78</v>
      </c>
      <c r="N90" s="112">
        <f>1000000+1000000+1000000+1000000</f>
        <v>4000000</v>
      </c>
      <c r="O90" s="196">
        <f t="shared" si="23"/>
        <v>33.33333333333333</v>
      </c>
      <c r="P90" s="91" t="s">
        <v>139</v>
      </c>
      <c r="Q90" s="91" t="s">
        <v>318</v>
      </c>
      <c r="R90" s="12">
        <v>950000</v>
      </c>
      <c r="S90" s="12"/>
      <c r="T90" s="12">
        <f>R90+S90</f>
        <v>950000</v>
      </c>
      <c r="U90" s="191">
        <f t="shared" si="24"/>
        <v>7.916666666666666</v>
      </c>
      <c r="V90" s="181">
        <f>J90-T90</f>
        <v>11050000</v>
      </c>
      <c r="W90" s="191">
        <f t="shared" si="25"/>
        <v>92.08333333333333</v>
      </c>
      <c r="X90" s="7"/>
      <c r="Y90" s="38"/>
      <c r="Z90" s="46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s="25" customFormat="1" ht="13.5">
      <c r="A91" s="9"/>
      <c r="B91" s="247" t="s">
        <v>230</v>
      </c>
      <c r="C91" s="158" t="s">
        <v>233</v>
      </c>
      <c r="D91" s="5" t="s">
        <v>37</v>
      </c>
      <c r="E91" s="5" t="s">
        <v>140</v>
      </c>
      <c r="F91" s="84" t="s">
        <v>75</v>
      </c>
      <c r="G91" s="9" t="s">
        <v>28</v>
      </c>
      <c r="H91" s="5" t="s">
        <v>5</v>
      </c>
      <c r="I91" s="9"/>
      <c r="J91" s="11">
        <v>12500000</v>
      </c>
      <c r="K91" s="82"/>
      <c r="L91" s="37"/>
      <c r="M91" s="7" t="s">
        <v>78</v>
      </c>
      <c r="N91" s="112">
        <f>1000000+1500000+1000000+1000000</f>
        <v>4500000</v>
      </c>
      <c r="O91" s="196">
        <f t="shared" si="23"/>
        <v>36</v>
      </c>
      <c r="P91" s="91" t="s">
        <v>139</v>
      </c>
      <c r="Q91" s="91" t="s">
        <v>318</v>
      </c>
      <c r="R91" s="12"/>
      <c r="S91" s="12"/>
      <c r="T91" s="12"/>
      <c r="U91" s="191">
        <f t="shared" si="24"/>
        <v>0</v>
      </c>
      <c r="V91" s="181">
        <f>J91-T91</f>
        <v>12500000</v>
      </c>
      <c r="W91" s="191">
        <f t="shared" si="25"/>
        <v>100</v>
      </c>
      <c r="X91" s="7"/>
      <c r="Y91" s="38"/>
      <c r="Z91" s="46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s="26" customFormat="1" ht="13.5">
      <c r="A92" s="10"/>
      <c r="B92" s="242" t="s">
        <v>234</v>
      </c>
      <c r="C92" s="159" t="s">
        <v>235</v>
      </c>
      <c r="D92" s="102" t="s">
        <v>37</v>
      </c>
      <c r="E92" s="102" t="s">
        <v>308</v>
      </c>
      <c r="F92" s="107" t="s">
        <v>75</v>
      </c>
      <c r="G92" s="10" t="s">
        <v>28</v>
      </c>
      <c r="H92" s="102" t="s">
        <v>5</v>
      </c>
      <c r="I92" s="10"/>
      <c r="J92" s="98">
        <f>J93</f>
        <v>2550000</v>
      </c>
      <c r="K92" s="98"/>
      <c r="L92" s="98"/>
      <c r="M92" s="98"/>
      <c r="N92" s="98">
        <f>N93</f>
        <v>1000000</v>
      </c>
      <c r="O92" s="195">
        <f t="shared" si="23"/>
        <v>39.21568627450981</v>
      </c>
      <c r="P92" s="170" t="s">
        <v>139</v>
      </c>
      <c r="Q92" s="170" t="s">
        <v>318</v>
      </c>
      <c r="R92" s="110">
        <f>R93</f>
        <v>0</v>
      </c>
      <c r="S92" s="110">
        <f>S93</f>
        <v>0</v>
      </c>
      <c r="T92" s="110">
        <f>T93</f>
        <v>0</v>
      </c>
      <c r="U92" s="191">
        <f t="shared" si="24"/>
        <v>0</v>
      </c>
      <c r="V92" s="98">
        <f>V93</f>
        <v>2550000</v>
      </c>
      <c r="W92" s="191">
        <f t="shared" si="25"/>
        <v>100</v>
      </c>
      <c r="X92" s="98">
        <f>X93</f>
        <v>0</v>
      </c>
      <c r="Y92" s="106"/>
      <c r="Z92" s="45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25" customFormat="1" ht="13.5">
      <c r="A93" s="9"/>
      <c r="B93" s="247" t="s">
        <v>150</v>
      </c>
      <c r="C93" s="158" t="s">
        <v>236</v>
      </c>
      <c r="D93" s="5" t="s">
        <v>37</v>
      </c>
      <c r="E93" s="5" t="s">
        <v>308</v>
      </c>
      <c r="F93" s="84" t="s">
        <v>75</v>
      </c>
      <c r="G93" s="9" t="s">
        <v>28</v>
      </c>
      <c r="H93" s="5" t="s">
        <v>5</v>
      </c>
      <c r="I93" s="9"/>
      <c r="J93" s="11">
        <v>2550000</v>
      </c>
      <c r="K93" s="82"/>
      <c r="L93" s="37"/>
      <c r="M93" s="7" t="s">
        <v>78</v>
      </c>
      <c r="N93" s="112">
        <v>1000000</v>
      </c>
      <c r="O93" s="196">
        <f t="shared" si="23"/>
        <v>39.21568627450981</v>
      </c>
      <c r="P93" s="91" t="s">
        <v>309</v>
      </c>
      <c r="Q93" s="91" t="s">
        <v>318</v>
      </c>
      <c r="R93" s="12"/>
      <c r="S93" s="12"/>
      <c r="T93" s="12"/>
      <c r="U93" s="191">
        <f t="shared" si="24"/>
        <v>0</v>
      </c>
      <c r="V93" s="181">
        <f>J93-T93</f>
        <v>2550000</v>
      </c>
      <c r="W93" s="191">
        <f t="shared" si="25"/>
        <v>100</v>
      </c>
      <c r="X93" s="7"/>
      <c r="Y93" s="38"/>
      <c r="Z93" s="46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s="26" customFormat="1" ht="13.5">
      <c r="A94" s="10"/>
      <c r="B94" s="28" t="s">
        <v>151</v>
      </c>
      <c r="C94" s="159">
        <v>2124</v>
      </c>
      <c r="D94" s="102" t="s">
        <v>76</v>
      </c>
      <c r="E94" s="102" t="s">
        <v>140</v>
      </c>
      <c r="F94" s="84" t="s">
        <v>75</v>
      </c>
      <c r="G94" s="10" t="s">
        <v>28</v>
      </c>
      <c r="H94" s="102" t="s">
        <v>5</v>
      </c>
      <c r="I94" s="10"/>
      <c r="J94" s="98">
        <f>SUM(J95:J99)</f>
        <v>177700000</v>
      </c>
      <c r="K94" s="98"/>
      <c r="L94" s="98"/>
      <c r="M94" s="98"/>
      <c r="N94" s="98">
        <f>SUM(N95:N99)</f>
        <v>77720000</v>
      </c>
      <c r="O94" s="195">
        <f t="shared" si="23"/>
        <v>43.73663477771525</v>
      </c>
      <c r="P94" s="170" t="s">
        <v>139</v>
      </c>
      <c r="Q94" s="170" t="s">
        <v>318</v>
      </c>
      <c r="R94" s="111">
        <f>SUM(R95:R99)</f>
        <v>5020000</v>
      </c>
      <c r="S94" s="111">
        <f>SUM(S95:S99)</f>
        <v>9750000</v>
      </c>
      <c r="T94" s="111">
        <f>SUM(T95:T99)</f>
        <v>14770000</v>
      </c>
      <c r="U94" s="307">
        <f t="shared" si="24"/>
        <v>8.31176139561058</v>
      </c>
      <c r="V94" s="176">
        <f>SUM(V95:V99)</f>
        <v>162930000</v>
      </c>
      <c r="W94" s="191">
        <f t="shared" si="25"/>
        <v>91.68823860438941</v>
      </c>
      <c r="X94" s="105"/>
      <c r="Y94" s="106"/>
      <c r="Z94" s="45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25" customFormat="1" ht="13.5">
      <c r="A95" s="9"/>
      <c r="B95" s="247" t="s">
        <v>237</v>
      </c>
      <c r="C95" s="158" t="s">
        <v>242</v>
      </c>
      <c r="D95" s="5" t="s">
        <v>76</v>
      </c>
      <c r="E95" s="5" t="s">
        <v>140</v>
      </c>
      <c r="F95" s="84" t="s">
        <v>75</v>
      </c>
      <c r="G95" s="9" t="s">
        <v>28</v>
      </c>
      <c r="H95" s="5" t="s">
        <v>5</v>
      </c>
      <c r="I95" s="9"/>
      <c r="J95" s="11">
        <v>30000000</v>
      </c>
      <c r="K95" s="82"/>
      <c r="L95" s="37"/>
      <c r="M95" s="7" t="s">
        <v>221</v>
      </c>
      <c r="N95" s="112">
        <f>2500000+2500000+20000000+5000000</f>
        <v>30000000</v>
      </c>
      <c r="O95" s="196">
        <f t="shared" si="23"/>
        <v>100</v>
      </c>
      <c r="P95" s="91" t="s">
        <v>139</v>
      </c>
      <c r="Q95" s="91" t="s">
        <v>318</v>
      </c>
      <c r="R95" s="12">
        <v>2000000</v>
      </c>
      <c r="S95" s="12">
        <v>0</v>
      </c>
      <c r="T95" s="12">
        <f>R95+S95</f>
        <v>2000000</v>
      </c>
      <c r="U95" s="191">
        <f t="shared" si="24"/>
        <v>6.666666666666667</v>
      </c>
      <c r="V95" s="181">
        <f>J95-T95</f>
        <v>28000000</v>
      </c>
      <c r="W95" s="191">
        <f t="shared" si="25"/>
        <v>93.33333333333333</v>
      </c>
      <c r="X95" s="7"/>
      <c r="Y95" s="38"/>
      <c r="Z95" s="46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s="25" customFormat="1" ht="13.5">
      <c r="A96" s="9"/>
      <c r="B96" s="247" t="s">
        <v>238</v>
      </c>
      <c r="C96" s="158" t="s">
        <v>243</v>
      </c>
      <c r="D96" s="5" t="s">
        <v>76</v>
      </c>
      <c r="E96" s="5" t="s">
        <v>140</v>
      </c>
      <c r="F96" s="84" t="s">
        <v>75</v>
      </c>
      <c r="G96" s="9" t="s">
        <v>28</v>
      </c>
      <c r="H96" s="5" t="s">
        <v>5</v>
      </c>
      <c r="I96" s="9"/>
      <c r="J96" s="11">
        <v>10500000</v>
      </c>
      <c r="K96" s="82"/>
      <c r="L96" s="37"/>
      <c r="M96" s="7" t="s">
        <v>78</v>
      </c>
      <c r="N96" s="112">
        <f>875000+875000+875000+875000</f>
        <v>3500000</v>
      </c>
      <c r="O96" s="196">
        <f t="shared" si="23"/>
        <v>33.33333333333333</v>
      </c>
      <c r="P96" s="91" t="s">
        <v>139</v>
      </c>
      <c r="Q96" s="91" t="s">
        <v>318</v>
      </c>
      <c r="R96" s="12">
        <v>1650000</v>
      </c>
      <c r="S96" s="12">
        <v>0</v>
      </c>
      <c r="T96" s="12">
        <f>R96+S96</f>
        <v>1650000</v>
      </c>
      <c r="U96" s="191">
        <f t="shared" si="24"/>
        <v>15.714285714285714</v>
      </c>
      <c r="V96" s="181">
        <f>J96-T96</f>
        <v>8850000</v>
      </c>
      <c r="W96" s="191">
        <f t="shared" si="25"/>
        <v>84.28571428571429</v>
      </c>
      <c r="X96" s="7"/>
      <c r="Y96" s="38"/>
      <c r="Z96" s="46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s="25" customFormat="1" ht="13.5">
      <c r="A97" s="9"/>
      <c r="B97" s="247" t="s">
        <v>239</v>
      </c>
      <c r="C97" s="158" t="s">
        <v>243</v>
      </c>
      <c r="D97" s="5" t="s">
        <v>76</v>
      </c>
      <c r="E97" s="5" t="s">
        <v>140</v>
      </c>
      <c r="F97" s="84" t="s">
        <v>75</v>
      </c>
      <c r="G97" s="9" t="s">
        <v>28</v>
      </c>
      <c r="H97" s="5" t="s">
        <v>5</v>
      </c>
      <c r="I97" s="9"/>
      <c r="J97" s="11">
        <v>115600000</v>
      </c>
      <c r="K97" s="82"/>
      <c r="L97" s="37"/>
      <c r="M97" s="7" t="s">
        <v>221</v>
      </c>
      <c r="N97" s="112">
        <f>9630000+9630000+9630000+9630000</f>
        <v>38520000</v>
      </c>
      <c r="O97" s="196">
        <f t="shared" si="23"/>
        <v>33.32179930795848</v>
      </c>
      <c r="P97" s="91" t="s">
        <v>139</v>
      </c>
      <c r="Q97" s="91" t="s">
        <v>318</v>
      </c>
      <c r="R97" s="12">
        <v>1370000</v>
      </c>
      <c r="S97" s="12">
        <v>9000000</v>
      </c>
      <c r="T97" s="12">
        <f>R97+S97</f>
        <v>10370000</v>
      </c>
      <c r="U97" s="191">
        <f t="shared" si="24"/>
        <v>8.970588235294118</v>
      </c>
      <c r="V97" s="181">
        <f>J97-T97</f>
        <v>105230000</v>
      </c>
      <c r="W97" s="191">
        <f t="shared" si="25"/>
        <v>91.02941176470588</v>
      </c>
      <c r="X97" s="7"/>
      <c r="Y97" s="38"/>
      <c r="Z97" s="46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s="25" customFormat="1" ht="13.5">
      <c r="A98" s="9"/>
      <c r="B98" s="247" t="s">
        <v>240</v>
      </c>
      <c r="C98" s="158" t="s">
        <v>244</v>
      </c>
      <c r="D98" s="5" t="s">
        <v>76</v>
      </c>
      <c r="E98" s="5" t="s">
        <v>307</v>
      </c>
      <c r="F98" s="84" t="s">
        <v>75</v>
      </c>
      <c r="G98" s="9" t="s">
        <v>28</v>
      </c>
      <c r="H98" s="5" t="s">
        <v>5</v>
      </c>
      <c r="I98" s="9"/>
      <c r="J98" s="11">
        <v>3600000</v>
      </c>
      <c r="K98" s="82"/>
      <c r="L98" s="37"/>
      <c r="M98" s="7" t="s">
        <v>78</v>
      </c>
      <c r="N98" s="112">
        <v>1200000</v>
      </c>
      <c r="O98" s="196">
        <f t="shared" si="23"/>
        <v>33.33333333333333</v>
      </c>
      <c r="P98" s="91" t="s">
        <v>309</v>
      </c>
      <c r="Q98" s="91" t="s">
        <v>318</v>
      </c>
      <c r="R98" s="12"/>
      <c r="S98" s="12">
        <v>0</v>
      </c>
      <c r="T98" s="12">
        <f>R98+S98</f>
        <v>0</v>
      </c>
      <c r="U98" s="191">
        <f t="shared" si="24"/>
        <v>0</v>
      </c>
      <c r="V98" s="181">
        <f>J98-T98</f>
        <v>3600000</v>
      </c>
      <c r="W98" s="191">
        <f t="shared" si="25"/>
        <v>100</v>
      </c>
      <c r="X98" s="7"/>
      <c r="Y98" s="38"/>
      <c r="Z98" s="46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s="25" customFormat="1" ht="13.5">
      <c r="A99" s="9"/>
      <c r="B99" s="247" t="s">
        <v>241</v>
      </c>
      <c r="C99" s="158" t="s">
        <v>245</v>
      </c>
      <c r="D99" s="5" t="s">
        <v>76</v>
      </c>
      <c r="E99" s="5" t="s">
        <v>140</v>
      </c>
      <c r="F99" s="84" t="s">
        <v>75</v>
      </c>
      <c r="G99" s="9" t="s">
        <v>28</v>
      </c>
      <c r="H99" s="5" t="s">
        <v>5</v>
      </c>
      <c r="I99" s="9"/>
      <c r="J99" s="11">
        <v>18000000</v>
      </c>
      <c r="K99" s="82"/>
      <c r="L99" s="37"/>
      <c r="M99" s="7" t="s">
        <v>78</v>
      </c>
      <c r="N99" s="112">
        <f>1500000+1500000+1500000</f>
        <v>4500000</v>
      </c>
      <c r="O99" s="196">
        <f t="shared" si="23"/>
        <v>25</v>
      </c>
      <c r="P99" s="91" t="s">
        <v>139</v>
      </c>
      <c r="Q99" s="91" t="s">
        <v>318</v>
      </c>
      <c r="R99" s="12"/>
      <c r="S99" s="12">
        <v>750000</v>
      </c>
      <c r="T99" s="12">
        <f>R99+S99</f>
        <v>750000</v>
      </c>
      <c r="U99" s="191">
        <f t="shared" si="24"/>
        <v>4.166666666666666</v>
      </c>
      <c r="V99" s="181">
        <f>J99-T99</f>
        <v>17250000</v>
      </c>
      <c r="W99" s="191">
        <f t="shared" si="25"/>
        <v>95.83333333333334</v>
      </c>
      <c r="X99" s="7"/>
      <c r="Y99" s="38"/>
      <c r="Z99" s="46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s="26" customFormat="1" ht="13.5">
      <c r="A100" s="10"/>
      <c r="B100" s="28" t="s">
        <v>100</v>
      </c>
      <c r="C100" s="10" t="s">
        <v>128</v>
      </c>
      <c r="D100" s="102" t="s">
        <v>37</v>
      </c>
      <c r="E100" s="102" t="s">
        <v>140</v>
      </c>
      <c r="F100" s="84" t="s">
        <v>75</v>
      </c>
      <c r="G100" s="10" t="s">
        <v>28</v>
      </c>
      <c r="H100" s="102" t="s">
        <v>5</v>
      </c>
      <c r="I100" s="10"/>
      <c r="J100" s="98">
        <f>J101+J102</f>
        <v>126900000</v>
      </c>
      <c r="K100" s="98"/>
      <c r="L100" s="98"/>
      <c r="M100" s="98"/>
      <c r="N100" s="98">
        <f>N101+N102</f>
        <v>42300000</v>
      </c>
      <c r="O100" s="195">
        <f t="shared" si="23"/>
        <v>33.33333333333333</v>
      </c>
      <c r="P100" s="170" t="s">
        <v>139</v>
      </c>
      <c r="Q100" s="170" t="s">
        <v>318</v>
      </c>
      <c r="R100" s="109">
        <f>R101+R102</f>
        <v>3450000</v>
      </c>
      <c r="S100" s="109">
        <f>S101+S102</f>
        <v>0</v>
      </c>
      <c r="T100" s="109">
        <f>T101+T102</f>
        <v>3450000</v>
      </c>
      <c r="U100" s="307">
        <f t="shared" si="24"/>
        <v>2.7186761229314422</v>
      </c>
      <c r="V100" s="176">
        <f>V101+V102</f>
        <v>123450000</v>
      </c>
      <c r="W100" s="191">
        <f t="shared" si="25"/>
        <v>97.28132387706856</v>
      </c>
      <c r="X100" s="105"/>
      <c r="Y100" s="106"/>
      <c r="Z100" s="45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25" customFormat="1" ht="13.5">
      <c r="A101" s="9"/>
      <c r="B101" s="34" t="s">
        <v>101</v>
      </c>
      <c r="C101" s="9" t="s">
        <v>129</v>
      </c>
      <c r="D101" s="5" t="s">
        <v>37</v>
      </c>
      <c r="E101" s="5" t="s">
        <v>140</v>
      </c>
      <c r="F101" s="84" t="s">
        <v>75</v>
      </c>
      <c r="G101" s="9" t="s">
        <v>28</v>
      </c>
      <c r="H101" s="5" t="s">
        <v>5</v>
      </c>
      <c r="I101" s="9"/>
      <c r="J101" s="11">
        <v>84000000</v>
      </c>
      <c r="K101" s="82"/>
      <c r="L101" s="37"/>
      <c r="M101" s="7" t="s">
        <v>221</v>
      </c>
      <c r="N101" s="112">
        <f>7000000+7000000+7000000+7000000</f>
        <v>28000000</v>
      </c>
      <c r="O101" s="196">
        <f t="shared" si="23"/>
        <v>33.33333333333333</v>
      </c>
      <c r="P101" s="91" t="s">
        <v>139</v>
      </c>
      <c r="Q101" s="91" t="s">
        <v>318</v>
      </c>
      <c r="R101" s="12"/>
      <c r="S101" s="12"/>
      <c r="T101" s="12">
        <f>R101+S101</f>
        <v>0</v>
      </c>
      <c r="U101" s="191">
        <f t="shared" si="24"/>
        <v>0</v>
      </c>
      <c r="V101" s="181">
        <f>J101-T101</f>
        <v>84000000</v>
      </c>
      <c r="W101" s="191">
        <f t="shared" si="25"/>
        <v>100</v>
      </c>
      <c r="X101" s="7"/>
      <c r="Y101" s="38"/>
      <c r="Z101" s="46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s="25" customFormat="1" ht="13.5">
      <c r="A102" s="9"/>
      <c r="B102" s="34" t="s">
        <v>152</v>
      </c>
      <c r="C102" s="158">
        <v>125005</v>
      </c>
      <c r="D102" s="5" t="s">
        <v>37</v>
      </c>
      <c r="E102" s="5" t="s">
        <v>140</v>
      </c>
      <c r="F102" s="84" t="s">
        <v>75</v>
      </c>
      <c r="G102" s="9" t="s">
        <v>28</v>
      </c>
      <c r="H102" s="5" t="s">
        <v>5</v>
      </c>
      <c r="I102" s="9"/>
      <c r="J102" s="11">
        <v>42900000</v>
      </c>
      <c r="K102" s="82"/>
      <c r="L102" s="37"/>
      <c r="M102" s="7" t="s">
        <v>221</v>
      </c>
      <c r="N102" s="112">
        <f>3575000+3575000+3575000+3575000</f>
        <v>14300000</v>
      </c>
      <c r="O102" s="196">
        <f t="shared" si="23"/>
        <v>33.33333333333333</v>
      </c>
      <c r="P102" s="91" t="s">
        <v>139</v>
      </c>
      <c r="Q102" s="91" t="s">
        <v>318</v>
      </c>
      <c r="R102" s="12">
        <v>3450000</v>
      </c>
      <c r="S102" s="12"/>
      <c r="T102" s="12">
        <f>R102+S102</f>
        <v>3450000</v>
      </c>
      <c r="U102" s="191">
        <f t="shared" si="24"/>
        <v>8.041958041958042</v>
      </c>
      <c r="V102" s="181">
        <f>J102-T102</f>
        <v>39450000</v>
      </c>
      <c r="W102" s="191">
        <f t="shared" si="25"/>
        <v>91.95804195804196</v>
      </c>
      <c r="X102" s="7"/>
      <c r="Y102" s="38"/>
      <c r="Z102" s="46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s="26" customFormat="1" ht="12.75" customHeight="1">
      <c r="A103" s="348" t="s">
        <v>20</v>
      </c>
      <c r="B103" s="349" t="s">
        <v>102</v>
      </c>
      <c r="C103" s="350"/>
      <c r="D103" s="350"/>
      <c r="E103" s="350"/>
      <c r="F103" s="350"/>
      <c r="G103" s="350"/>
      <c r="H103" s="350"/>
      <c r="I103" s="350"/>
      <c r="J103" s="351">
        <f>J105+J114+J118+J123+J143</f>
        <v>4198054400</v>
      </c>
      <c r="K103" s="351"/>
      <c r="L103" s="351"/>
      <c r="M103" s="351"/>
      <c r="N103" s="351">
        <f>N105+N114+N118+N123+N143</f>
        <v>1912817400</v>
      </c>
      <c r="O103" s="351">
        <f>N103/J103*100</f>
        <v>45.56437858451763</v>
      </c>
      <c r="P103" s="351"/>
      <c r="Q103" s="351"/>
      <c r="R103" s="351">
        <f>R105+R114+R118+R123+R143</f>
        <v>388147500</v>
      </c>
      <c r="S103" s="351">
        <f>S105+S114+S118+S123+S143</f>
        <v>670412761</v>
      </c>
      <c r="T103" s="351">
        <f>T105+T114+T118+T123+T143</f>
        <v>1058560261</v>
      </c>
      <c r="U103" s="351">
        <f>T103/J103*100</f>
        <v>25.215496516672104</v>
      </c>
      <c r="V103" s="351">
        <f>V105+V114+V118+V123+V143</f>
        <v>3139494139</v>
      </c>
      <c r="W103" s="351">
        <f>V103/J103*100</f>
        <v>74.7845034833279</v>
      </c>
      <c r="X103" s="351"/>
      <c r="Y103" s="106"/>
      <c r="Z103" s="45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26" customFormat="1" ht="12" customHeight="1">
      <c r="A104" s="348"/>
      <c r="B104" s="349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52"/>
      <c r="Z104" s="45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140" customFormat="1" ht="29.25" customHeight="1">
      <c r="A105" s="130">
        <v>1</v>
      </c>
      <c r="B105" s="143" t="s">
        <v>103</v>
      </c>
      <c r="C105" s="130" t="s">
        <v>130</v>
      </c>
      <c r="D105" s="132" t="s">
        <v>37</v>
      </c>
      <c r="E105" s="132" t="s">
        <v>140</v>
      </c>
      <c r="F105" s="213" t="s">
        <v>75</v>
      </c>
      <c r="G105" s="130" t="s">
        <v>28</v>
      </c>
      <c r="H105" s="132" t="s">
        <v>5</v>
      </c>
      <c r="I105" s="130" t="s">
        <v>28</v>
      </c>
      <c r="J105" s="133">
        <f>J109+J106</f>
        <v>174000000</v>
      </c>
      <c r="K105" s="134"/>
      <c r="L105" s="135"/>
      <c r="M105" s="270"/>
      <c r="N105" s="137">
        <f>N106+N109</f>
        <v>113800000</v>
      </c>
      <c r="O105" s="194">
        <f>N105/J105*100</f>
        <v>65.40229885057471</v>
      </c>
      <c r="P105" s="168"/>
      <c r="Q105" s="168"/>
      <c r="R105" s="138">
        <f>R106+R109</f>
        <v>0</v>
      </c>
      <c r="S105" s="138">
        <f>S106+S109</f>
        <v>54160561</v>
      </c>
      <c r="T105" s="138">
        <f>T106+T109</f>
        <v>54160561</v>
      </c>
      <c r="U105" s="202">
        <f aca="true" t="shared" si="26" ref="U105:U114">T105/J105*100</f>
        <v>31.126759195402297</v>
      </c>
      <c r="V105" s="139">
        <f>V106+V109</f>
        <v>119839439</v>
      </c>
      <c r="W105" s="301">
        <f>V105/J105*100</f>
        <v>68.8732408045977</v>
      </c>
      <c r="X105" s="139"/>
      <c r="Y105" s="41"/>
      <c r="Z105" s="45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126" customFormat="1" ht="15" customHeight="1">
      <c r="A106" s="147"/>
      <c r="B106" s="129" t="s">
        <v>83</v>
      </c>
      <c r="C106" s="161"/>
      <c r="D106" s="120"/>
      <c r="E106" s="120"/>
      <c r="F106" s="120"/>
      <c r="G106" s="118"/>
      <c r="H106" s="120"/>
      <c r="I106" s="147"/>
      <c r="J106" s="162">
        <f>J107</f>
        <v>4050000</v>
      </c>
      <c r="K106" s="147"/>
      <c r="L106" s="147"/>
      <c r="M106" s="147"/>
      <c r="N106" s="148">
        <f>N107</f>
        <v>1350000</v>
      </c>
      <c r="O106" s="198">
        <f aca="true" t="shared" si="27" ref="O106:O122">N106/J106*100</f>
        <v>33.33333333333333</v>
      </c>
      <c r="P106" s="147"/>
      <c r="Q106" s="147"/>
      <c r="R106" s="183">
        <f aca="true" t="shared" si="28" ref="R106:T107">R107</f>
        <v>0</v>
      </c>
      <c r="S106" s="148">
        <f t="shared" si="28"/>
        <v>0</v>
      </c>
      <c r="T106" s="148">
        <f>T107</f>
        <v>0</v>
      </c>
      <c r="U106" s="215">
        <f t="shared" si="26"/>
        <v>0</v>
      </c>
      <c r="V106" s="125">
        <f>V107</f>
        <v>4050000</v>
      </c>
      <c r="W106" s="189">
        <f aca="true" t="shared" si="29" ref="W106:W112">V106/J106*100</f>
        <v>100</v>
      </c>
      <c r="X106" s="147"/>
      <c r="Y106" s="41"/>
      <c r="Z106" s="45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26" s="43" customFormat="1" ht="15" customHeight="1">
      <c r="A107" s="29"/>
      <c r="B107" s="96" t="s">
        <v>149</v>
      </c>
      <c r="C107" s="163">
        <v>1001</v>
      </c>
      <c r="D107" s="107" t="s">
        <v>76</v>
      </c>
      <c r="E107" s="107" t="s">
        <v>140</v>
      </c>
      <c r="F107" s="84" t="s">
        <v>75</v>
      </c>
      <c r="G107" s="108" t="s">
        <v>28</v>
      </c>
      <c r="H107" s="107" t="s">
        <v>5</v>
      </c>
      <c r="I107" s="29"/>
      <c r="J107" s="160">
        <f>J108</f>
        <v>4050000</v>
      </c>
      <c r="K107" s="29"/>
      <c r="L107" s="29"/>
      <c r="M107" s="29"/>
      <c r="N107" s="90">
        <f>N108</f>
        <v>1350000</v>
      </c>
      <c r="O107" s="199">
        <f>N107/J107*100</f>
        <v>33.33333333333333</v>
      </c>
      <c r="P107" s="170" t="s">
        <v>139</v>
      </c>
      <c r="Q107" s="170" t="s">
        <v>318</v>
      </c>
      <c r="R107" s="184">
        <f t="shared" si="28"/>
        <v>0</v>
      </c>
      <c r="S107" s="90">
        <f t="shared" si="28"/>
        <v>0</v>
      </c>
      <c r="T107" s="90">
        <f t="shared" si="28"/>
        <v>0</v>
      </c>
      <c r="U107" s="204">
        <f t="shared" si="26"/>
        <v>0</v>
      </c>
      <c r="V107" s="86">
        <f>V108</f>
        <v>4050000</v>
      </c>
      <c r="W107" s="189">
        <f t="shared" si="29"/>
        <v>100</v>
      </c>
      <c r="X107" s="29"/>
      <c r="Y107" s="41"/>
      <c r="Z107" s="45"/>
    </row>
    <row r="108" spans="1:26" s="44" customFormat="1" ht="12.75" customHeight="1">
      <c r="A108" s="27"/>
      <c r="B108" s="6" t="s">
        <v>148</v>
      </c>
      <c r="C108" s="35" t="s">
        <v>147</v>
      </c>
      <c r="D108" s="84" t="s">
        <v>76</v>
      </c>
      <c r="E108" s="84" t="s">
        <v>140</v>
      </c>
      <c r="F108" s="84" t="s">
        <v>75</v>
      </c>
      <c r="G108" s="87" t="s">
        <v>28</v>
      </c>
      <c r="H108" s="84" t="s">
        <v>5</v>
      </c>
      <c r="I108" s="27"/>
      <c r="J108" s="164">
        <v>4050000</v>
      </c>
      <c r="K108" s="27"/>
      <c r="L108" s="27"/>
      <c r="M108" s="27" t="s">
        <v>78</v>
      </c>
      <c r="N108" s="149">
        <f>337500+337500+337500+337500</f>
        <v>1350000</v>
      </c>
      <c r="O108" s="200">
        <f t="shared" si="27"/>
        <v>33.33333333333333</v>
      </c>
      <c r="P108" s="91" t="s">
        <v>139</v>
      </c>
      <c r="Q108" s="91" t="s">
        <v>318</v>
      </c>
      <c r="R108" s="182"/>
      <c r="S108" s="149"/>
      <c r="T108" s="149">
        <f>R108+S108</f>
        <v>0</v>
      </c>
      <c r="U108" s="205">
        <f t="shared" si="26"/>
        <v>0</v>
      </c>
      <c r="V108" s="8">
        <f>J108-T108</f>
        <v>4050000</v>
      </c>
      <c r="W108" s="189">
        <f t="shared" si="29"/>
        <v>100</v>
      </c>
      <c r="X108" s="27"/>
      <c r="Y108" s="165"/>
      <c r="Z108" s="46"/>
    </row>
    <row r="109" spans="1:35" s="126" customFormat="1" ht="13.5" customHeight="1">
      <c r="A109" s="118"/>
      <c r="B109" s="119" t="s">
        <v>79</v>
      </c>
      <c r="C109" s="118"/>
      <c r="D109" s="118"/>
      <c r="E109" s="120"/>
      <c r="F109" s="120"/>
      <c r="G109" s="120"/>
      <c r="H109" s="120"/>
      <c r="I109" s="120"/>
      <c r="J109" s="121">
        <f>J110+J112</f>
        <v>169950000</v>
      </c>
      <c r="K109" s="120"/>
      <c r="L109" s="120"/>
      <c r="M109" s="120"/>
      <c r="N109" s="123">
        <f>N110+N112</f>
        <v>112450000</v>
      </c>
      <c r="O109" s="128">
        <f t="shared" si="27"/>
        <v>66.16651956457783</v>
      </c>
      <c r="P109" s="125"/>
      <c r="Q109" s="125"/>
      <c r="R109" s="124">
        <f>R110+R112</f>
        <v>0</v>
      </c>
      <c r="S109" s="124">
        <f>S110+S112</f>
        <v>54160561</v>
      </c>
      <c r="T109" s="124">
        <f>T110+T112</f>
        <v>54160561</v>
      </c>
      <c r="U109" s="203">
        <f t="shared" si="26"/>
        <v>31.868526625478083</v>
      </c>
      <c r="V109" s="125">
        <f>V110+V112</f>
        <v>115789439</v>
      </c>
      <c r="W109" s="189">
        <f t="shared" si="29"/>
        <v>68.13147337452192</v>
      </c>
      <c r="X109" s="125"/>
      <c r="Y109" s="106"/>
      <c r="Z109" s="45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s="26" customFormat="1" ht="13.5">
      <c r="A110" s="10"/>
      <c r="B110" s="95" t="s">
        <v>80</v>
      </c>
      <c r="C110" s="10" t="s">
        <v>114</v>
      </c>
      <c r="D110" s="102" t="s">
        <v>37</v>
      </c>
      <c r="E110" s="102" t="s">
        <v>140</v>
      </c>
      <c r="F110" s="84" t="s">
        <v>75</v>
      </c>
      <c r="G110" s="10" t="s">
        <v>28</v>
      </c>
      <c r="H110" s="102" t="s">
        <v>5</v>
      </c>
      <c r="I110" s="10" t="s">
        <v>28</v>
      </c>
      <c r="J110" s="98">
        <f>J111</f>
        <v>112500000</v>
      </c>
      <c r="K110" s="103"/>
      <c r="L110" s="104"/>
      <c r="M110" s="105"/>
      <c r="N110" s="110">
        <f>N111</f>
        <v>55000000</v>
      </c>
      <c r="O110" s="195">
        <f t="shared" si="27"/>
        <v>48.888888888888886</v>
      </c>
      <c r="P110" s="170" t="s">
        <v>139</v>
      </c>
      <c r="Q110" s="170" t="s">
        <v>318</v>
      </c>
      <c r="R110" s="89">
        <f>R111</f>
        <v>0</v>
      </c>
      <c r="S110" s="89">
        <f>S111</f>
        <v>22950000</v>
      </c>
      <c r="T110" s="89">
        <f>T111</f>
        <v>22950000</v>
      </c>
      <c r="U110" s="204">
        <f t="shared" si="26"/>
        <v>20.4</v>
      </c>
      <c r="V110" s="86">
        <f>V111</f>
        <v>89550000</v>
      </c>
      <c r="W110" s="189">
        <f t="shared" si="29"/>
        <v>79.60000000000001</v>
      </c>
      <c r="X110" s="105"/>
      <c r="Y110" s="106"/>
      <c r="Z110" s="45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s="25" customFormat="1" ht="13.5">
      <c r="A111" s="9"/>
      <c r="B111" s="74" t="s">
        <v>104</v>
      </c>
      <c r="C111" s="9" t="s">
        <v>131</v>
      </c>
      <c r="D111" s="5" t="s">
        <v>37</v>
      </c>
      <c r="E111" s="5" t="s">
        <v>140</v>
      </c>
      <c r="F111" s="84" t="s">
        <v>75</v>
      </c>
      <c r="G111" s="9" t="s">
        <v>28</v>
      </c>
      <c r="H111" s="5" t="s">
        <v>5</v>
      </c>
      <c r="I111" s="9"/>
      <c r="J111" s="11">
        <v>112500000</v>
      </c>
      <c r="K111" s="36"/>
      <c r="L111" s="37"/>
      <c r="M111" s="7" t="s">
        <v>78</v>
      </c>
      <c r="N111" s="112">
        <f>10000000+10000000+17500000+17500000</f>
        <v>55000000</v>
      </c>
      <c r="O111" s="196">
        <f t="shared" si="27"/>
        <v>48.888888888888886</v>
      </c>
      <c r="P111" s="91" t="s">
        <v>139</v>
      </c>
      <c r="Q111" s="91" t="s">
        <v>318</v>
      </c>
      <c r="R111" s="88"/>
      <c r="S111" s="88">
        <v>22950000</v>
      </c>
      <c r="T111" s="88">
        <f>R111+S111</f>
        <v>22950000</v>
      </c>
      <c r="U111" s="205">
        <f t="shared" si="26"/>
        <v>20.4</v>
      </c>
      <c r="V111" s="8">
        <f>J111-T111</f>
        <v>89550000</v>
      </c>
      <c r="W111" s="189">
        <f t="shared" si="29"/>
        <v>79.60000000000001</v>
      </c>
      <c r="X111" s="7"/>
      <c r="Y111" s="38"/>
      <c r="Z111" s="46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s="26" customFormat="1" ht="13.5">
      <c r="A112" s="10"/>
      <c r="B112" s="95" t="s">
        <v>105</v>
      </c>
      <c r="C112" s="10" t="s">
        <v>132</v>
      </c>
      <c r="D112" s="102" t="s">
        <v>37</v>
      </c>
      <c r="E112" s="102" t="s">
        <v>310</v>
      </c>
      <c r="F112" s="84" t="s">
        <v>75</v>
      </c>
      <c r="G112" s="10" t="s">
        <v>28</v>
      </c>
      <c r="H112" s="102" t="s">
        <v>5</v>
      </c>
      <c r="I112" s="10"/>
      <c r="J112" s="98">
        <f>J113</f>
        <v>57450000</v>
      </c>
      <c r="K112" s="103"/>
      <c r="L112" s="104"/>
      <c r="M112" s="105"/>
      <c r="N112" s="110">
        <f>N113</f>
        <v>57450000</v>
      </c>
      <c r="O112" s="195">
        <f t="shared" si="27"/>
        <v>100</v>
      </c>
      <c r="P112" s="170" t="s">
        <v>139</v>
      </c>
      <c r="Q112" s="170" t="s">
        <v>318</v>
      </c>
      <c r="R112" s="89">
        <f>R113</f>
        <v>0</v>
      </c>
      <c r="S112" s="89">
        <f>S113</f>
        <v>31210561</v>
      </c>
      <c r="T112" s="89">
        <f>T113</f>
        <v>31210561</v>
      </c>
      <c r="U112" s="204">
        <f t="shared" si="26"/>
        <v>54.32647693646649</v>
      </c>
      <c r="V112" s="86">
        <f>V113</f>
        <v>26239439</v>
      </c>
      <c r="W112" s="189">
        <f t="shared" si="29"/>
        <v>45.67352306353351</v>
      </c>
      <c r="X112" s="105"/>
      <c r="Y112" s="106"/>
      <c r="Z112" s="45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s="25" customFormat="1" ht="13.5">
      <c r="A113" s="9"/>
      <c r="B113" s="74" t="s">
        <v>246</v>
      </c>
      <c r="C113" s="9" t="s">
        <v>138</v>
      </c>
      <c r="D113" s="5" t="s">
        <v>37</v>
      </c>
      <c r="E113" s="5" t="s">
        <v>310</v>
      </c>
      <c r="F113" s="84" t="s">
        <v>75</v>
      </c>
      <c r="G113" s="9" t="s">
        <v>28</v>
      </c>
      <c r="H113" s="5" t="s">
        <v>5</v>
      </c>
      <c r="I113" s="9"/>
      <c r="J113" s="11">
        <v>57450000</v>
      </c>
      <c r="K113" s="36"/>
      <c r="L113" s="37"/>
      <c r="M113" s="7" t="s">
        <v>78</v>
      </c>
      <c r="N113" s="112">
        <f>8000000+8000000+41450000</f>
        <v>57450000</v>
      </c>
      <c r="O113" s="196">
        <f t="shared" si="27"/>
        <v>100</v>
      </c>
      <c r="P113" s="91" t="s">
        <v>139</v>
      </c>
      <c r="Q113" s="91" t="s">
        <v>318</v>
      </c>
      <c r="R113" s="88"/>
      <c r="S113" s="88">
        <v>31210561</v>
      </c>
      <c r="T113" s="88">
        <f>R113+S113</f>
        <v>31210561</v>
      </c>
      <c r="U113" s="205">
        <f t="shared" si="26"/>
        <v>54.32647693646649</v>
      </c>
      <c r="V113" s="8">
        <f>J113-T113</f>
        <v>26239439</v>
      </c>
      <c r="W113" s="189">
        <f>V113/J113*100</f>
        <v>45.67352306353351</v>
      </c>
      <c r="X113" s="7"/>
      <c r="Y113" s="38"/>
      <c r="Z113" s="46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s="140" customFormat="1" ht="27">
      <c r="A114" s="130">
        <v>2</v>
      </c>
      <c r="B114" s="143" t="s">
        <v>247</v>
      </c>
      <c r="C114" s="130" t="s">
        <v>77</v>
      </c>
      <c r="D114" s="132"/>
      <c r="E114" s="132"/>
      <c r="F114" s="132"/>
      <c r="G114" s="130"/>
      <c r="H114" s="132"/>
      <c r="I114" s="130"/>
      <c r="J114" s="133">
        <f>J115</f>
        <v>299750000</v>
      </c>
      <c r="K114" s="134"/>
      <c r="L114" s="135"/>
      <c r="M114" s="136"/>
      <c r="N114" s="137">
        <f>N115</f>
        <v>99916000</v>
      </c>
      <c r="O114" s="194">
        <f>N114/J114*100</f>
        <v>33.33311092577148</v>
      </c>
      <c r="P114" s="168"/>
      <c r="Q114" s="168"/>
      <c r="R114" s="138">
        <f>R115</f>
        <v>0</v>
      </c>
      <c r="S114" s="138">
        <f>S115</f>
        <v>11000000</v>
      </c>
      <c r="T114" s="138">
        <f>T115</f>
        <v>11000000</v>
      </c>
      <c r="U114" s="202">
        <f t="shared" si="26"/>
        <v>3.669724770642202</v>
      </c>
      <c r="V114" s="139">
        <f>V115</f>
        <v>288750000</v>
      </c>
      <c r="W114" s="187">
        <f>T114/J114*100</f>
        <v>3.669724770642202</v>
      </c>
      <c r="X114" s="139"/>
      <c r="Y114" s="106"/>
      <c r="Z114" s="45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s="126" customFormat="1" ht="13.5">
      <c r="A115" s="118"/>
      <c r="B115" s="129" t="s">
        <v>79</v>
      </c>
      <c r="C115" s="118"/>
      <c r="D115" s="120"/>
      <c r="E115" s="120"/>
      <c r="F115" s="120"/>
      <c r="G115" s="118"/>
      <c r="H115" s="120"/>
      <c r="I115" s="118"/>
      <c r="J115" s="121">
        <f>J116</f>
        <v>299750000</v>
      </c>
      <c r="K115" s="121"/>
      <c r="L115" s="121"/>
      <c r="M115" s="121"/>
      <c r="N115" s="121">
        <f aca="true" t="shared" si="30" ref="N115:W115">N116</f>
        <v>99916000</v>
      </c>
      <c r="O115" s="128">
        <f t="shared" si="27"/>
        <v>33.33311092577148</v>
      </c>
      <c r="P115" s="121"/>
      <c r="Q115" s="121"/>
      <c r="R115" s="123">
        <f t="shared" si="30"/>
        <v>0</v>
      </c>
      <c r="S115" s="123">
        <f t="shared" si="30"/>
        <v>11000000</v>
      </c>
      <c r="T115" s="123">
        <f t="shared" si="30"/>
        <v>11000000</v>
      </c>
      <c r="U115" s="121">
        <f>U116</f>
        <v>3.669724770642202</v>
      </c>
      <c r="V115" s="121">
        <f t="shared" si="30"/>
        <v>288750000</v>
      </c>
      <c r="W115" s="121">
        <f t="shared" si="30"/>
        <v>96.3302752293578</v>
      </c>
      <c r="X115" s="121"/>
      <c r="Y115" s="106"/>
      <c r="Z115" s="45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s="26" customFormat="1" ht="13.5">
      <c r="A116" s="10"/>
      <c r="B116" s="96" t="s">
        <v>93</v>
      </c>
      <c r="C116" s="10" t="s">
        <v>119</v>
      </c>
      <c r="D116" s="102" t="s">
        <v>37</v>
      </c>
      <c r="E116" s="102" t="s">
        <v>140</v>
      </c>
      <c r="F116" s="102" t="s">
        <v>75</v>
      </c>
      <c r="G116" s="10" t="s">
        <v>28</v>
      </c>
      <c r="H116" s="102" t="s">
        <v>5</v>
      </c>
      <c r="I116" s="10"/>
      <c r="J116" s="98">
        <f>J117</f>
        <v>299750000</v>
      </c>
      <c r="K116" s="103"/>
      <c r="L116" s="104"/>
      <c r="M116" s="105" t="s">
        <v>78</v>
      </c>
      <c r="N116" s="110">
        <f>N117</f>
        <v>99916000</v>
      </c>
      <c r="O116" s="195">
        <f t="shared" si="27"/>
        <v>33.33311092577148</v>
      </c>
      <c r="P116" s="170" t="s">
        <v>139</v>
      </c>
      <c r="Q116" s="170" t="s">
        <v>318</v>
      </c>
      <c r="R116" s="89">
        <f>R117</f>
        <v>0</v>
      </c>
      <c r="S116" s="89">
        <f>S117</f>
        <v>11000000</v>
      </c>
      <c r="T116" s="89">
        <f>T117</f>
        <v>11000000</v>
      </c>
      <c r="U116" s="204">
        <f>T116/J116*100</f>
        <v>3.669724770642202</v>
      </c>
      <c r="V116" s="86">
        <f>V117</f>
        <v>288750000</v>
      </c>
      <c r="W116" s="189">
        <f>V116/J116*100</f>
        <v>96.3302752293578</v>
      </c>
      <c r="X116" s="105"/>
      <c r="Y116" s="106"/>
      <c r="Z116" s="45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s="25" customFormat="1" ht="13.5">
      <c r="A117" s="9"/>
      <c r="B117" s="97" t="s">
        <v>202</v>
      </c>
      <c r="C117" s="9" t="s">
        <v>120</v>
      </c>
      <c r="D117" s="5" t="s">
        <v>37</v>
      </c>
      <c r="E117" s="5" t="s">
        <v>140</v>
      </c>
      <c r="F117" s="5" t="s">
        <v>75</v>
      </c>
      <c r="G117" s="9" t="s">
        <v>28</v>
      </c>
      <c r="H117" s="5" t="s">
        <v>5</v>
      </c>
      <c r="I117" s="9"/>
      <c r="J117" s="11">
        <v>299750000</v>
      </c>
      <c r="K117" s="36"/>
      <c r="L117" s="37"/>
      <c r="M117" s="7" t="s">
        <v>78</v>
      </c>
      <c r="N117" s="112">
        <f>24979000+24979000+24979000+24979000</f>
        <v>99916000</v>
      </c>
      <c r="O117" s="196">
        <f t="shared" si="27"/>
        <v>33.33311092577148</v>
      </c>
      <c r="P117" s="91" t="s">
        <v>139</v>
      </c>
      <c r="Q117" s="91" t="s">
        <v>318</v>
      </c>
      <c r="R117" s="88"/>
      <c r="S117" s="88">
        <v>11000000</v>
      </c>
      <c r="T117" s="88">
        <f>R117+S117</f>
        <v>11000000</v>
      </c>
      <c r="U117" s="205">
        <f>T117/J117*100</f>
        <v>3.669724770642202</v>
      </c>
      <c r="V117" s="8">
        <f>J117-T117</f>
        <v>288750000</v>
      </c>
      <c r="W117" s="189">
        <f>V117/J117*100</f>
        <v>96.3302752293578</v>
      </c>
      <c r="X117" s="7"/>
      <c r="Y117" s="38"/>
      <c r="Z117" s="46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s="26" customFormat="1" ht="27">
      <c r="A118" s="130">
        <v>3</v>
      </c>
      <c r="B118" s="143" t="s">
        <v>248</v>
      </c>
      <c r="C118" s="130"/>
      <c r="D118" s="132"/>
      <c r="E118" s="132"/>
      <c r="F118" s="132"/>
      <c r="G118" s="130"/>
      <c r="H118" s="132"/>
      <c r="I118" s="130"/>
      <c r="J118" s="133">
        <f>J119</f>
        <v>2131739000</v>
      </c>
      <c r="K118" s="134"/>
      <c r="L118" s="135"/>
      <c r="M118" s="139"/>
      <c r="N118" s="137">
        <f>N119</f>
        <v>600000000</v>
      </c>
      <c r="O118" s="194"/>
      <c r="P118" s="168"/>
      <c r="Q118" s="168"/>
      <c r="R118" s="138">
        <f>R119</f>
        <v>75267900</v>
      </c>
      <c r="S118" s="138">
        <f>S119</f>
        <v>257882800</v>
      </c>
      <c r="T118" s="138">
        <f>T119</f>
        <v>333150700</v>
      </c>
      <c r="U118" s="202">
        <f>T118/J118*100</f>
        <v>15.628118639289331</v>
      </c>
      <c r="V118" s="139">
        <f>V119</f>
        <v>1798588300</v>
      </c>
      <c r="W118" s="187"/>
      <c r="X118" s="139"/>
      <c r="Y118" s="106"/>
      <c r="Z118" s="45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s="26" customFormat="1" ht="13.5">
      <c r="A119" s="118"/>
      <c r="B119" s="129" t="s">
        <v>79</v>
      </c>
      <c r="C119" s="118"/>
      <c r="D119" s="120"/>
      <c r="E119" s="120"/>
      <c r="F119" s="120"/>
      <c r="G119" s="118"/>
      <c r="H119" s="120"/>
      <c r="I119" s="118"/>
      <c r="J119" s="121">
        <f>J120</f>
        <v>2131739000</v>
      </c>
      <c r="K119" s="121"/>
      <c r="L119" s="121"/>
      <c r="M119" s="121"/>
      <c r="N119" s="121">
        <f aca="true" t="shared" si="31" ref="N119:W119">N120</f>
        <v>600000000</v>
      </c>
      <c r="O119" s="121">
        <f t="shared" si="31"/>
        <v>28.14603476316754</v>
      </c>
      <c r="P119" s="121"/>
      <c r="Q119" s="121"/>
      <c r="R119" s="123">
        <f t="shared" si="31"/>
        <v>75267900</v>
      </c>
      <c r="S119" s="123">
        <f t="shared" si="31"/>
        <v>257882800</v>
      </c>
      <c r="T119" s="123">
        <f t="shared" si="31"/>
        <v>333150700</v>
      </c>
      <c r="U119" s="121">
        <f>U120</f>
        <v>15.628118639289331</v>
      </c>
      <c r="V119" s="121">
        <f t="shared" si="31"/>
        <v>1798588300</v>
      </c>
      <c r="W119" s="121">
        <f t="shared" si="31"/>
        <v>84.37188136071066</v>
      </c>
      <c r="X119" s="121"/>
      <c r="Y119" s="106"/>
      <c r="Z119" s="45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5" customFormat="1" ht="13.5">
      <c r="A120" s="10"/>
      <c r="B120" s="96" t="s">
        <v>93</v>
      </c>
      <c r="C120" s="10" t="s">
        <v>119</v>
      </c>
      <c r="D120" s="102" t="s">
        <v>37</v>
      </c>
      <c r="E120" s="102" t="s">
        <v>140</v>
      </c>
      <c r="F120" s="102" t="s">
        <v>75</v>
      </c>
      <c r="G120" s="10" t="s">
        <v>28</v>
      </c>
      <c r="H120" s="102" t="s">
        <v>5</v>
      </c>
      <c r="I120" s="10"/>
      <c r="J120" s="98">
        <f>J121+J122</f>
        <v>2131739000</v>
      </c>
      <c r="K120" s="103"/>
      <c r="L120" s="104"/>
      <c r="M120" s="105"/>
      <c r="N120" s="110">
        <f>N121</f>
        <v>600000000</v>
      </c>
      <c r="O120" s="195">
        <f t="shared" si="27"/>
        <v>28.14603476316754</v>
      </c>
      <c r="P120" s="170" t="s">
        <v>139</v>
      </c>
      <c r="Q120" s="170" t="s">
        <v>318</v>
      </c>
      <c r="R120" s="89">
        <f>R121</f>
        <v>75267900</v>
      </c>
      <c r="S120" s="89">
        <f>S121</f>
        <v>257882800</v>
      </c>
      <c r="T120" s="89">
        <f>T121</f>
        <v>333150700</v>
      </c>
      <c r="U120" s="204">
        <f aca="true" t="shared" si="32" ref="U120:U125">T120/J120*100</f>
        <v>15.628118639289331</v>
      </c>
      <c r="V120" s="86">
        <f>V121+V122</f>
        <v>1798588300</v>
      </c>
      <c r="W120" s="189">
        <f aca="true" t="shared" si="33" ref="W120:W142">V120/J120*100</f>
        <v>84.37188136071066</v>
      </c>
      <c r="X120" s="105"/>
      <c r="Y120" s="38"/>
      <c r="Z120" s="46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s="25" customFormat="1" ht="13.5">
      <c r="A121" s="9"/>
      <c r="B121" s="247" t="s">
        <v>203</v>
      </c>
      <c r="C121" s="9" t="s">
        <v>121</v>
      </c>
      <c r="D121" s="5" t="s">
        <v>37</v>
      </c>
      <c r="E121" s="5" t="s">
        <v>140</v>
      </c>
      <c r="F121" s="5" t="s">
        <v>75</v>
      </c>
      <c r="G121" s="9" t="s">
        <v>28</v>
      </c>
      <c r="H121" s="5" t="s">
        <v>5</v>
      </c>
      <c r="I121" s="9"/>
      <c r="J121" s="11">
        <v>1711121000</v>
      </c>
      <c r="K121" s="36"/>
      <c r="L121" s="37"/>
      <c r="M121" s="7" t="s">
        <v>78</v>
      </c>
      <c r="N121" s="112">
        <f>150000000+150000000+150000000+150000000</f>
        <v>600000000</v>
      </c>
      <c r="O121" s="196">
        <f>N121/J121*100</f>
        <v>35.06473241810485</v>
      </c>
      <c r="P121" s="91" t="s">
        <v>139</v>
      </c>
      <c r="Q121" s="91" t="s">
        <v>318</v>
      </c>
      <c r="R121" s="88">
        <f>14257900+61010000</f>
        <v>75267900</v>
      </c>
      <c r="S121" s="88">
        <v>257882800</v>
      </c>
      <c r="T121" s="88">
        <f>R121+S121</f>
        <v>333150700</v>
      </c>
      <c r="U121" s="205">
        <f t="shared" si="32"/>
        <v>19.46973358400721</v>
      </c>
      <c r="V121" s="8">
        <f>J121-T121</f>
        <v>1377970300</v>
      </c>
      <c r="W121" s="189">
        <f t="shared" si="33"/>
        <v>80.53026641599278</v>
      </c>
      <c r="X121" s="7"/>
      <c r="Y121" s="38"/>
      <c r="Z121" s="46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s="25" customFormat="1" ht="13.5">
      <c r="A122" s="9"/>
      <c r="B122" s="247" t="s">
        <v>249</v>
      </c>
      <c r="C122" s="9" t="s">
        <v>250</v>
      </c>
      <c r="D122" s="5" t="s">
        <v>37</v>
      </c>
      <c r="E122" s="5" t="s">
        <v>308</v>
      </c>
      <c r="F122" s="5" t="s">
        <v>75</v>
      </c>
      <c r="G122" s="9" t="s">
        <v>28</v>
      </c>
      <c r="H122" s="5" t="s">
        <v>5</v>
      </c>
      <c r="I122" s="9"/>
      <c r="J122" s="11">
        <v>420618000</v>
      </c>
      <c r="K122" s="36"/>
      <c r="L122" s="37"/>
      <c r="M122" s="7" t="s">
        <v>78</v>
      </c>
      <c r="N122" s="112">
        <v>210309000</v>
      </c>
      <c r="O122" s="196">
        <f t="shared" si="27"/>
        <v>50</v>
      </c>
      <c r="P122" s="91" t="s">
        <v>309</v>
      </c>
      <c r="Q122" s="91" t="s">
        <v>318</v>
      </c>
      <c r="R122" s="88"/>
      <c r="S122" s="88"/>
      <c r="T122" s="88"/>
      <c r="U122" s="204">
        <f t="shared" si="32"/>
        <v>0</v>
      </c>
      <c r="V122" s="8">
        <f>J122-T122</f>
        <v>420618000</v>
      </c>
      <c r="W122" s="189">
        <f t="shared" si="33"/>
        <v>100</v>
      </c>
      <c r="X122" s="7"/>
      <c r="Y122" s="38"/>
      <c r="Z122" s="46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s="126" customFormat="1" ht="27">
      <c r="A123" s="132">
        <v>4</v>
      </c>
      <c r="B123" s="131" t="s">
        <v>251</v>
      </c>
      <c r="C123" s="130" t="s">
        <v>130</v>
      </c>
      <c r="D123" s="132"/>
      <c r="E123" s="132"/>
      <c r="F123" s="213"/>
      <c r="G123" s="130"/>
      <c r="H123" s="132"/>
      <c r="I123" s="132"/>
      <c r="J123" s="136">
        <f>J124+J140</f>
        <v>1454033600</v>
      </c>
      <c r="K123" s="136"/>
      <c r="L123" s="136"/>
      <c r="M123" s="136"/>
      <c r="N123" s="136">
        <f>N124+N140</f>
        <v>960569600</v>
      </c>
      <c r="O123" s="136">
        <f>N123/J123*100</f>
        <v>66.06240736115039</v>
      </c>
      <c r="P123" s="136"/>
      <c r="Q123" s="136"/>
      <c r="R123" s="138">
        <f>R124+R140</f>
        <v>241779600</v>
      </c>
      <c r="S123" s="138">
        <f>S124+S140</f>
        <v>281838900</v>
      </c>
      <c r="T123" s="138">
        <f>T124+T140</f>
        <v>523618500</v>
      </c>
      <c r="U123" s="136">
        <f t="shared" si="32"/>
        <v>36.01144430224996</v>
      </c>
      <c r="V123" s="136">
        <f>V124+V140</f>
        <v>930415100</v>
      </c>
      <c r="W123" s="136">
        <f t="shared" si="33"/>
        <v>63.98855569775004</v>
      </c>
      <c r="X123" s="136"/>
      <c r="Y123" s="51"/>
      <c r="Z123" s="45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s="26" customFormat="1" ht="13.5">
      <c r="A124" s="120"/>
      <c r="B124" s="141" t="s">
        <v>79</v>
      </c>
      <c r="C124" s="118"/>
      <c r="D124" s="120"/>
      <c r="E124" s="120"/>
      <c r="F124" s="216"/>
      <c r="G124" s="118"/>
      <c r="H124" s="120"/>
      <c r="I124" s="120"/>
      <c r="J124" s="122">
        <f>J125+J129+J131+J133+J135+J137</f>
        <v>1424933600</v>
      </c>
      <c r="K124" s="122"/>
      <c r="L124" s="122"/>
      <c r="M124" s="122"/>
      <c r="N124" s="122">
        <f>N125+N129+N131+N133+N135+N137</f>
        <v>931469600</v>
      </c>
      <c r="O124" s="122">
        <f>N124/J124*100</f>
        <v>65.36933370088262</v>
      </c>
      <c r="P124" s="122"/>
      <c r="Q124" s="122"/>
      <c r="R124" s="124">
        <f>R125+R129+R131+R133+R135+R137</f>
        <v>212679600</v>
      </c>
      <c r="S124" s="124">
        <f>S125+S129+S131+S133+S135+S137</f>
        <v>281838900</v>
      </c>
      <c r="T124" s="124">
        <f>T125+T129+T131+T133+T135+T137</f>
        <v>494518500</v>
      </c>
      <c r="U124" s="122">
        <f t="shared" si="32"/>
        <v>34.70466974741841</v>
      </c>
      <c r="V124" s="122">
        <f>V125+V129+V131+V133+V135+V137</f>
        <v>930415100</v>
      </c>
      <c r="W124" s="122">
        <f t="shared" si="33"/>
        <v>65.29533025258159</v>
      </c>
      <c r="X124" s="122"/>
      <c r="Y124" s="51"/>
      <c r="Z124" s="45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s="26" customFormat="1" ht="13.5">
      <c r="A125" s="107"/>
      <c r="B125" s="242" t="s">
        <v>252</v>
      </c>
      <c r="C125" s="108" t="s">
        <v>112</v>
      </c>
      <c r="D125" s="107" t="s">
        <v>76</v>
      </c>
      <c r="E125" s="107" t="s">
        <v>306</v>
      </c>
      <c r="F125" s="107" t="s">
        <v>75</v>
      </c>
      <c r="G125" s="10" t="s">
        <v>28</v>
      </c>
      <c r="H125" s="102" t="s">
        <v>5</v>
      </c>
      <c r="I125" s="107"/>
      <c r="J125" s="85">
        <f>SUM(J126:J128)</f>
        <v>202230200</v>
      </c>
      <c r="K125" s="85"/>
      <c r="L125" s="85"/>
      <c r="M125" s="85"/>
      <c r="N125" s="85">
        <f aca="true" t="shared" si="34" ref="N125:V125">SUM(N126:N128)</f>
        <v>174494200</v>
      </c>
      <c r="O125" s="85">
        <f>N125/J125*100</f>
        <v>86.28493667117968</v>
      </c>
      <c r="P125" s="170" t="s">
        <v>139</v>
      </c>
      <c r="Q125" s="170" t="s">
        <v>318</v>
      </c>
      <c r="R125" s="89">
        <f t="shared" si="34"/>
        <v>80154200</v>
      </c>
      <c r="S125" s="89">
        <f t="shared" si="34"/>
        <v>85680000</v>
      </c>
      <c r="T125" s="89">
        <f t="shared" si="34"/>
        <v>165834200</v>
      </c>
      <c r="U125" s="85">
        <f t="shared" si="32"/>
        <v>82.00268802582403</v>
      </c>
      <c r="V125" s="85">
        <f t="shared" si="34"/>
        <v>36396000</v>
      </c>
      <c r="W125" s="85">
        <f t="shared" si="33"/>
        <v>17.997311974175965</v>
      </c>
      <c r="X125" s="85"/>
      <c r="Y125" s="51"/>
      <c r="Z125" s="45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s="25" customFormat="1" ht="27">
      <c r="A126" s="84"/>
      <c r="B126" s="247" t="s">
        <v>253</v>
      </c>
      <c r="C126" s="87" t="s">
        <v>267</v>
      </c>
      <c r="D126" s="84" t="s">
        <v>76</v>
      </c>
      <c r="E126" s="84" t="s">
        <v>306</v>
      </c>
      <c r="F126" s="84" t="s">
        <v>75</v>
      </c>
      <c r="G126" s="9" t="s">
        <v>28</v>
      </c>
      <c r="H126" s="5" t="s">
        <v>5</v>
      </c>
      <c r="I126" s="84"/>
      <c r="J126" s="39">
        <v>85857000</v>
      </c>
      <c r="K126" s="39"/>
      <c r="L126" s="39"/>
      <c r="M126" s="7" t="s">
        <v>221</v>
      </c>
      <c r="N126" s="88">
        <v>85857000</v>
      </c>
      <c r="O126" s="39">
        <f aca="true" t="shared" si="35" ref="O126:O142">N126/J126*100</f>
        <v>100</v>
      </c>
      <c r="P126" s="91" t="s">
        <v>139</v>
      </c>
      <c r="Q126" s="91" t="s">
        <v>139</v>
      </c>
      <c r="R126" s="88"/>
      <c r="S126" s="88">
        <v>85680000</v>
      </c>
      <c r="T126" s="88">
        <f>R126+S126</f>
        <v>85680000</v>
      </c>
      <c r="U126" s="39">
        <f aca="true" t="shared" si="36" ref="U126:U139">T126/J126*100</f>
        <v>99.7938432509871</v>
      </c>
      <c r="V126" s="8">
        <f>J126-T126</f>
        <v>177000</v>
      </c>
      <c r="W126" s="39">
        <f t="shared" si="33"/>
        <v>0.20615674901289355</v>
      </c>
      <c r="X126" s="39"/>
      <c r="Y126" s="166"/>
      <c r="Z126" s="46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s="25" customFormat="1" ht="13.5">
      <c r="A127" s="84"/>
      <c r="B127" s="247" t="s">
        <v>254</v>
      </c>
      <c r="C127" s="87" t="s">
        <v>109</v>
      </c>
      <c r="D127" s="84" t="s">
        <v>76</v>
      </c>
      <c r="E127" s="84" t="s">
        <v>306</v>
      </c>
      <c r="F127" s="84" t="s">
        <v>75</v>
      </c>
      <c r="G127" s="9" t="s">
        <v>28</v>
      </c>
      <c r="H127" s="5" t="s">
        <v>5</v>
      </c>
      <c r="I127" s="84"/>
      <c r="J127" s="39">
        <v>74773200</v>
      </c>
      <c r="K127" s="39"/>
      <c r="L127" s="39"/>
      <c r="M127" s="7" t="s">
        <v>221</v>
      </c>
      <c r="N127" s="88">
        <v>74773200</v>
      </c>
      <c r="O127" s="39">
        <f t="shared" si="35"/>
        <v>100</v>
      </c>
      <c r="P127" s="91" t="s">
        <v>139</v>
      </c>
      <c r="Q127" s="91" t="s">
        <v>139</v>
      </c>
      <c r="R127" s="88">
        <v>74074200</v>
      </c>
      <c r="S127" s="88">
        <v>0</v>
      </c>
      <c r="T127" s="88">
        <f>R127+S127</f>
        <v>74074200</v>
      </c>
      <c r="U127" s="39">
        <f t="shared" si="36"/>
        <v>99.06517308340422</v>
      </c>
      <c r="V127" s="8">
        <f>J127-T127</f>
        <v>699000</v>
      </c>
      <c r="W127" s="39">
        <f t="shared" si="33"/>
        <v>0.9348269165957857</v>
      </c>
      <c r="X127" s="39"/>
      <c r="Y127" s="166"/>
      <c r="Z127" s="46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25" customFormat="1" ht="13.5">
      <c r="A128" s="84"/>
      <c r="B128" s="247" t="s">
        <v>255</v>
      </c>
      <c r="C128" s="87" t="s">
        <v>268</v>
      </c>
      <c r="D128" s="84" t="s">
        <v>76</v>
      </c>
      <c r="E128" s="84" t="s">
        <v>140</v>
      </c>
      <c r="F128" s="84" t="s">
        <v>75</v>
      </c>
      <c r="G128" s="9" t="s">
        <v>28</v>
      </c>
      <c r="H128" s="5" t="s">
        <v>5</v>
      </c>
      <c r="I128" s="84"/>
      <c r="J128" s="39">
        <v>41600000</v>
      </c>
      <c r="K128" s="39"/>
      <c r="L128" s="39"/>
      <c r="M128" s="7" t="s">
        <v>78</v>
      </c>
      <c r="N128" s="88">
        <f>3466000+3466000+3466000+3466000</f>
        <v>13864000</v>
      </c>
      <c r="O128" s="39">
        <f t="shared" si="35"/>
        <v>33.32692307692307</v>
      </c>
      <c r="P128" s="91" t="s">
        <v>139</v>
      </c>
      <c r="Q128" s="91" t="s">
        <v>318</v>
      </c>
      <c r="R128" s="88">
        <f>3200000+2880000</f>
        <v>6080000</v>
      </c>
      <c r="S128" s="88">
        <v>0</v>
      </c>
      <c r="T128" s="88">
        <f>R128+S128</f>
        <v>6080000</v>
      </c>
      <c r="U128" s="39">
        <f t="shared" si="36"/>
        <v>14.615384615384617</v>
      </c>
      <c r="V128" s="8">
        <f>J128-T128</f>
        <v>35520000</v>
      </c>
      <c r="W128" s="39">
        <f t="shared" si="33"/>
        <v>85.38461538461539</v>
      </c>
      <c r="X128" s="39"/>
      <c r="Y128" s="166"/>
      <c r="Z128" s="46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26" customFormat="1" ht="13.5">
      <c r="A129" s="107"/>
      <c r="B129" s="242" t="s">
        <v>256</v>
      </c>
      <c r="C129" s="108" t="s">
        <v>269</v>
      </c>
      <c r="D129" s="107" t="s">
        <v>76</v>
      </c>
      <c r="E129" s="107" t="s">
        <v>306</v>
      </c>
      <c r="F129" s="107" t="s">
        <v>75</v>
      </c>
      <c r="G129" s="10" t="s">
        <v>28</v>
      </c>
      <c r="H129" s="102" t="s">
        <v>5</v>
      </c>
      <c r="I129" s="107"/>
      <c r="J129" s="85">
        <f>J130</f>
        <v>566600000</v>
      </c>
      <c r="K129" s="85"/>
      <c r="L129" s="85"/>
      <c r="M129" s="85"/>
      <c r="N129" s="85">
        <f aca="true" t="shared" si="37" ref="N129:V129">N130</f>
        <v>188872000</v>
      </c>
      <c r="O129" s="85">
        <f t="shared" si="35"/>
        <v>33.33427462054359</v>
      </c>
      <c r="P129" s="170" t="s">
        <v>139</v>
      </c>
      <c r="Q129" s="170" t="s">
        <v>318</v>
      </c>
      <c r="R129" s="89">
        <f t="shared" si="37"/>
        <v>47172000</v>
      </c>
      <c r="S129" s="89">
        <f t="shared" si="37"/>
        <v>94108900</v>
      </c>
      <c r="T129" s="89">
        <f t="shared" si="37"/>
        <v>141280900</v>
      </c>
      <c r="U129" s="85">
        <f t="shared" si="36"/>
        <v>24.934857042004943</v>
      </c>
      <c r="V129" s="85">
        <f t="shared" si="37"/>
        <v>425319100</v>
      </c>
      <c r="W129" s="85">
        <f t="shared" si="33"/>
        <v>75.06514295799505</v>
      </c>
      <c r="X129" s="85"/>
      <c r="Y129" s="51"/>
      <c r="Z129" s="45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s="25" customFormat="1" ht="13.5">
      <c r="A130" s="84"/>
      <c r="B130" s="247" t="s">
        <v>257</v>
      </c>
      <c r="C130" s="87" t="s">
        <v>270</v>
      </c>
      <c r="D130" s="84" t="s">
        <v>76</v>
      </c>
      <c r="E130" s="84" t="s">
        <v>306</v>
      </c>
      <c r="F130" s="84" t="s">
        <v>75</v>
      </c>
      <c r="G130" s="9" t="s">
        <v>28</v>
      </c>
      <c r="H130" s="5" t="s">
        <v>5</v>
      </c>
      <c r="I130" s="84"/>
      <c r="J130" s="39">
        <v>566600000</v>
      </c>
      <c r="K130" s="39"/>
      <c r="L130" s="39"/>
      <c r="M130" s="7" t="s">
        <v>78</v>
      </c>
      <c r="N130" s="88">
        <f>566600000-424944000+47216000</f>
        <v>188872000</v>
      </c>
      <c r="O130" s="39">
        <f t="shared" si="35"/>
        <v>33.33427462054359</v>
      </c>
      <c r="P130" s="91" t="s">
        <v>139</v>
      </c>
      <c r="Q130" s="91" t="s">
        <v>318</v>
      </c>
      <c r="R130" s="88">
        <v>47172000</v>
      </c>
      <c r="S130" s="88">
        <v>94108900</v>
      </c>
      <c r="T130" s="88">
        <f>R130+S130</f>
        <v>141280900</v>
      </c>
      <c r="U130" s="39">
        <f t="shared" si="36"/>
        <v>24.934857042004943</v>
      </c>
      <c r="V130" s="8">
        <f>J130-T130</f>
        <v>425319100</v>
      </c>
      <c r="W130" s="39">
        <f t="shared" si="33"/>
        <v>75.06514295799505</v>
      </c>
      <c r="X130" s="39"/>
      <c r="Y130" s="166"/>
      <c r="Z130" s="46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s="26" customFormat="1" ht="13.5">
      <c r="A131" s="107"/>
      <c r="B131" s="242" t="s">
        <v>106</v>
      </c>
      <c r="C131" s="108" t="s">
        <v>114</v>
      </c>
      <c r="D131" s="107" t="s">
        <v>76</v>
      </c>
      <c r="E131" s="107" t="s">
        <v>140</v>
      </c>
      <c r="F131" s="107" t="s">
        <v>75</v>
      </c>
      <c r="G131" s="10" t="s">
        <v>28</v>
      </c>
      <c r="H131" s="102" t="s">
        <v>5</v>
      </c>
      <c r="I131" s="107"/>
      <c r="J131" s="85">
        <f>J132</f>
        <v>24000000</v>
      </c>
      <c r="K131" s="85"/>
      <c r="L131" s="85"/>
      <c r="M131" s="85"/>
      <c r="N131" s="85">
        <f aca="true" t="shared" si="38" ref="N131:V131">N132</f>
        <v>8000000</v>
      </c>
      <c r="O131" s="85">
        <f t="shared" si="35"/>
        <v>33.33333333333333</v>
      </c>
      <c r="P131" s="170" t="s">
        <v>139</v>
      </c>
      <c r="Q131" s="170" t="s">
        <v>318</v>
      </c>
      <c r="R131" s="89">
        <f t="shared" si="38"/>
        <v>2850000</v>
      </c>
      <c r="S131" s="89">
        <f t="shared" si="38"/>
        <v>975000</v>
      </c>
      <c r="T131" s="89">
        <f t="shared" si="38"/>
        <v>3825000</v>
      </c>
      <c r="U131" s="85">
        <f t="shared" si="36"/>
        <v>15.937499999999998</v>
      </c>
      <c r="V131" s="85">
        <f t="shared" si="38"/>
        <v>20175000</v>
      </c>
      <c r="W131" s="85">
        <f t="shared" si="33"/>
        <v>84.0625</v>
      </c>
      <c r="X131" s="85"/>
      <c r="Y131" s="51"/>
      <c r="Z131" s="45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s="25" customFormat="1" ht="13.5">
      <c r="A132" s="84"/>
      <c r="B132" s="247" t="s">
        <v>258</v>
      </c>
      <c r="C132" s="87" t="s">
        <v>271</v>
      </c>
      <c r="D132" s="84" t="s">
        <v>76</v>
      </c>
      <c r="E132" s="84" t="s">
        <v>140</v>
      </c>
      <c r="F132" s="84" t="s">
        <v>75</v>
      </c>
      <c r="G132" s="9" t="s">
        <v>28</v>
      </c>
      <c r="H132" s="5" t="s">
        <v>5</v>
      </c>
      <c r="I132" s="84"/>
      <c r="J132" s="39">
        <v>24000000</v>
      </c>
      <c r="K132" s="39"/>
      <c r="L132" s="39"/>
      <c r="M132" s="7" t="s">
        <v>78</v>
      </c>
      <c r="N132" s="88">
        <f>2000000+2000000+2000000+2000000</f>
        <v>8000000</v>
      </c>
      <c r="O132" s="39">
        <f t="shared" si="35"/>
        <v>33.33333333333333</v>
      </c>
      <c r="P132" s="91" t="s">
        <v>139</v>
      </c>
      <c r="Q132" s="91" t="s">
        <v>318</v>
      </c>
      <c r="R132" s="88">
        <v>2850000</v>
      </c>
      <c r="S132" s="88">
        <v>975000</v>
      </c>
      <c r="T132" s="88">
        <f>R132+S132</f>
        <v>3825000</v>
      </c>
      <c r="U132" s="39">
        <f t="shared" si="36"/>
        <v>15.937499999999998</v>
      </c>
      <c r="V132" s="8">
        <f>J132-T132</f>
        <v>20175000</v>
      </c>
      <c r="W132" s="39">
        <f t="shared" si="33"/>
        <v>84.0625</v>
      </c>
      <c r="X132" s="39"/>
      <c r="Y132" s="166"/>
      <c r="Z132" s="46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26" customFormat="1" ht="13.5">
      <c r="A133" s="107"/>
      <c r="B133" s="242" t="s">
        <v>259</v>
      </c>
      <c r="C133" s="108" t="s">
        <v>132</v>
      </c>
      <c r="D133" s="107" t="s">
        <v>76</v>
      </c>
      <c r="E133" s="107" t="s">
        <v>306</v>
      </c>
      <c r="F133" s="107" t="s">
        <v>75</v>
      </c>
      <c r="G133" s="10" t="s">
        <v>28</v>
      </c>
      <c r="H133" s="102" t="s">
        <v>5</v>
      </c>
      <c r="I133" s="107"/>
      <c r="J133" s="85">
        <f>J134</f>
        <v>477000000</v>
      </c>
      <c r="K133" s="85"/>
      <c r="L133" s="85"/>
      <c r="M133" s="85"/>
      <c r="N133" s="85">
        <f aca="true" t="shared" si="39" ref="N133:T133">N134</f>
        <v>477000000</v>
      </c>
      <c r="O133" s="85">
        <f t="shared" si="35"/>
        <v>100</v>
      </c>
      <c r="P133" s="170" t="s">
        <v>139</v>
      </c>
      <c r="Q133" s="170" t="s">
        <v>309</v>
      </c>
      <c r="R133" s="89">
        <f t="shared" si="39"/>
        <v>36600000</v>
      </c>
      <c r="S133" s="89">
        <f t="shared" si="39"/>
        <v>63925000</v>
      </c>
      <c r="T133" s="89">
        <f t="shared" si="39"/>
        <v>100525000</v>
      </c>
      <c r="U133" s="85">
        <f t="shared" si="36"/>
        <v>21.074423480083855</v>
      </c>
      <c r="V133" s="85">
        <f>V134</f>
        <v>376475000</v>
      </c>
      <c r="W133" s="85">
        <f t="shared" si="33"/>
        <v>78.92557651991613</v>
      </c>
      <c r="X133" s="85"/>
      <c r="Y133" s="51"/>
      <c r="Z133" s="45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s="25" customFormat="1" ht="13.5">
      <c r="A134" s="84"/>
      <c r="B134" s="247" t="s">
        <v>260</v>
      </c>
      <c r="C134" s="87" t="s">
        <v>133</v>
      </c>
      <c r="D134" s="84" t="s">
        <v>76</v>
      </c>
      <c r="E134" s="84" t="s">
        <v>306</v>
      </c>
      <c r="F134" s="84" t="s">
        <v>75</v>
      </c>
      <c r="G134" s="9" t="s">
        <v>28</v>
      </c>
      <c r="H134" s="5" t="s">
        <v>5</v>
      </c>
      <c r="I134" s="84"/>
      <c r="J134" s="39">
        <v>477000000</v>
      </c>
      <c r="K134" s="39"/>
      <c r="L134" s="39"/>
      <c r="M134" s="7" t="s">
        <v>78</v>
      </c>
      <c r="N134" s="88">
        <f>477000000</f>
        <v>477000000</v>
      </c>
      <c r="O134" s="39">
        <f t="shared" si="35"/>
        <v>100</v>
      </c>
      <c r="P134" s="91" t="s">
        <v>139</v>
      </c>
      <c r="Q134" s="91" t="s">
        <v>309</v>
      </c>
      <c r="R134" s="88">
        <v>36600000</v>
      </c>
      <c r="S134" s="88">
        <v>63925000</v>
      </c>
      <c r="T134" s="88">
        <f>R134+S134</f>
        <v>100525000</v>
      </c>
      <c r="U134" s="39">
        <f t="shared" si="36"/>
        <v>21.074423480083855</v>
      </c>
      <c r="V134" s="8">
        <f>J134-T134</f>
        <v>376475000</v>
      </c>
      <c r="W134" s="39">
        <f t="shared" si="33"/>
        <v>78.92557651991613</v>
      </c>
      <c r="X134" s="39"/>
      <c r="Y134" s="166"/>
      <c r="Z134" s="46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26" customFormat="1" ht="13.5">
      <c r="A135" s="107"/>
      <c r="B135" s="242" t="s">
        <v>204</v>
      </c>
      <c r="C135" s="108" t="s">
        <v>122</v>
      </c>
      <c r="D135" s="107" t="s">
        <v>76</v>
      </c>
      <c r="E135" s="107" t="s">
        <v>140</v>
      </c>
      <c r="F135" s="107" t="s">
        <v>75</v>
      </c>
      <c r="G135" s="10" t="s">
        <v>28</v>
      </c>
      <c r="H135" s="102" t="s">
        <v>5</v>
      </c>
      <c r="I135" s="107"/>
      <c r="J135" s="85">
        <f>J136</f>
        <v>108000000</v>
      </c>
      <c r="K135" s="85"/>
      <c r="L135" s="85"/>
      <c r="M135" s="85"/>
      <c r="N135" s="85">
        <f aca="true" t="shared" si="40" ref="N135:V135">N136</f>
        <v>36000000</v>
      </c>
      <c r="O135" s="85">
        <f t="shared" si="35"/>
        <v>33.33333333333333</v>
      </c>
      <c r="P135" s="170" t="s">
        <v>139</v>
      </c>
      <c r="Q135" s="170" t="s">
        <v>318</v>
      </c>
      <c r="R135" s="89">
        <f t="shared" si="40"/>
        <v>9000000</v>
      </c>
      <c r="S135" s="89">
        <f t="shared" si="40"/>
        <v>27000000</v>
      </c>
      <c r="T135" s="89">
        <f t="shared" si="40"/>
        <v>36000000</v>
      </c>
      <c r="U135" s="85">
        <f t="shared" si="36"/>
        <v>33.33333333333333</v>
      </c>
      <c r="V135" s="85">
        <f t="shared" si="40"/>
        <v>72000000</v>
      </c>
      <c r="W135" s="85">
        <f t="shared" si="33"/>
        <v>66.66666666666666</v>
      </c>
      <c r="X135" s="85"/>
      <c r="Y135" s="51"/>
      <c r="Z135" s="45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s="25" customFormat="1" ht="13.5">
      <c r="A136" s="84"/>
      <c r="B136" s="247" t="s">
        <v>205</v>
      </c>
      <c r="C136" s="87" t="s">
        <v>123</v>
      </c>
      <c r="D136" s="84" t="s">
        <v>76</v>
      </c>
      <c r="E136" s="84" t="s">
        <v>140</v>
      </c>
      <c r="F136" s="84" t="s">
        <v>75</v>
      </c>
      <c r="G136" s="9" t="s">
        <v>28</v>
      </c>
      <c r="H136" s="5" t="s">
        <v>5</v>
      </c>
      <c r="I136" s="84"/>
      <c r="J136" s="39">
        <v>108000000</v>
      </c>
      <c r="K136" s="39"/>
      <c r="L136" s="39"/>
      <c r="M136" s="7" t="s">
        <v>78</v>
      </c>
      <c r="N136" s="88">
        <f>9000000+9000000+9000000+9000000</f>
        <v>36000000</v>
      </c>
      <c r="O136" s="39">
        <f t="shared" si="35"/>
        <v>33.33333333333333</v>
      </c>
      <c r="P136" s="91" t="s">
        <v>139</v>
      </c>
      <c r="Q136" s="91" t="s">
        <v>318</v>
      </c>
      <c r="R136" s="88">
        <v>9000000</v>
      </c>
      <c r="S136" s="88">
        <v>27000000</v>
      </c>
      <c r="T136" s="88">
        <f>R136+S136</f>
        <v>36000000</v>
      </c>
      <c r="U136" s="39">
        <f t="shared" si="36"/>
        <v>33.33333333333333</v>
      </c>
      <c r="V136" s="8">
        <f>J136-T136</f>
        <v>72000000</v>
      </c>
      <c r="W136" s="39">
        <f t="shared" si="33"/>
        <v>66.66666666666666</v>
      </c>
      <c r="X136" s="39"/>
      <c r="Y136" s="166"/>
      <c r="Z136" s="46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26" customFormat="1" ht="13.5">
      <c r="A137" s="107"/>
      <c r="B137" s="242" t="s">
        <v>261</v>
      </c>
      <c r="C137" s="108" t="s">
        <v>272</v>
      </c>
      <c r="D137" s="107" t="s">
        <v>76</v>
      </c>
      <c r="E137" s="107" t="s">
        <v>306</v>
      </c>
      <c r="F137" s="107" t="s">
        <v>75</v>
      </c>
      <c r="G137" s="10" t="s">
        <v>28</v>
      </c>
      <c r="H137" s="102" t="s">
        <v>5</v>
      </c>
      <c r="I137" s="107"/>
      <c r="J137" s="85">
        <f>SUM(J138:J139)</f>
        <v>47103400</v>
      </c>
      <c r="K137" s="85"/>
      <c r="L137" s="85"/>
      <c r="M137" s="85"/>
      <c r="N137" s="85">
        <f>SUM(N138:N139)</f>
        <v>47103400</v>
      </c>
      <c r="O137" s="85">
        <f t="shared" si="35"/>
        <v>100</v>
      </c>
      <c r="P137" s="170" t="s">
        <v>139</v>
      </c>
      <c r="Q137" s="170" t="s">
        <v>314</v>
      </c>
      <c r="R137" s="89">
        <f>SUM(R138+R139)</f>
        <v>36903400</v>
      </c>
      <c r="S137" s="89">
        <f>SUM(S138:S139)</f>
        <v>10150000</v>
      </c>
      <c r="T137" s="89">
        <f>SUM(T138:T139)</f>
        <v>47053400</v>
      </c>
      <c r="U137" s="85">
        <f t="shared" si="36"/>
        <v>99.89385055006646</v>
      </c>
      <c r="V137" s="85">
        <f>SUM(V138:V139)</f>
        <v>50000</v>
      </c>
      <c r="W137" s="85">
        <f t="shared" si="33"/>
        <v>0.10614944993355044</v>
      </c>
      <c r="X137" s="85"/>
      <c r="Y137" s="51"/>
      <c r="Z137" s="45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s="25" customFormat="1" ht="13.5">
      <c r="A138" s="84"/>
      <c r="B138" s="247" t="s">
        <v>262</v>
      </c>
      <c r="C138" s="87" t="s">
        <v>273</v>
      </c>
      <c r="D138" s="84" t="s">
        <v>76</v>
      </c>
      <c r="E138" s="84" t="s">
        <v>306</v>
      </c>
      <c r="F138" s="84" t="s">
        <v>75</v>
      </c>
      <c r="G138" s="9" t="s">
        <v>28</v>
      </c>
      <c r="H138" s="5" t="s">
        <v>5</v>
      </c>
      <c r="I138" s="84"/>
      <c r="J138" s="39">
        <v>10200000</v>
      </c>
      <c r="K138" s="39"/>
      <c r="L138" s="39"/>
      <c r="M138" s="7" t="s">
        <v>221</v>
      </c>
      <c r="N138" s="88">
        <v>10200000</v>
      </c>
      <c r="O138" s="39">
        <f t="shared" si="35"/>
        <v>100</v>
      </c>
      <c r="P138" s="91" t="s">
        <v>139</v>
      </c>
      <c r="Q138" s="91" t="s">
        <v>314</v>
      </c>
      <c r="R138" s="88"/>
      <c r="S138" s="88">
        <v>10150000</v>
      </c>
      <c r="T138" s="88">
        <f>R138+S138</f>
        <v>10150000</v>
      </c>
      <c r="U138" s="39">
        <f>T138/J138*100</f>
        <v>99.50980392156863</v>
      </c>
      <c r="V138" s="8">
        <f>J138-T138</f>
        <v>50000</v>
      </c>
      <c r="W138" s="39">
        <f t="shared" si="33"/>
        <v>0.49019607843137253</v>
      </c>
      <c r="X138" s="39"/>
      <c r="Y138" s="166"/>
      <c r="Z138" s="46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25" customFormat="1" ht="13.5">
      <c r="A139" s="84"/>
      <c r="B139" s="247" t="s">
        <v>263</v>
      </c>
      <c r="C139" s="87" t="s">
        <v>274</v>
      </c>
      <c r="D139" s="84" t="s">
        <v>76</v>
      </c>
      <c r="E139" s="84" t="s">
        <v>306</v>
      </c>
      <c r="F139" s="84" t="s">
        <v>75</v>
      </c>
      <c r="G139" s="9" t="s">
        <v>28</v>
      </c>
      <c r="H139" s="5" t="s">
        <v>5</v>
      </c>
      <c r="I139" s="84"/>
      <c r="J139" s="39">
        <v>36903400</v>
      </c>
      <c r="K139" s="39"/>
      <c r="L139" s="39"/>
      <c r="M139" s="7" t="s">
        <v>221</v>
      </c>
      <c r="N139" s="88">
        <v>36903400</v>
      </c>
      <c r="O139" s="39">
        <f t="shared" si="35"/>
        <v>100</v>
      </c>
      <c r="P139" s="91" t="s">
        <v>139</v>
      </c>
      <c r="Q139" s="91" t="s">
        <v>314</v>
      </c>
      <c r="R139" s="88">
        <v>36903400</v>
      </c>
      <c r="S139" s="88">
        <v>0</v>
      </c>
      <c r="T139" s="88">
        <f>R139+S139</f>
        <v>36903400</v>
      </c>
      <c r="U139" s="85">
        <f t="shared" si="36"/>
        <v>100</v>
      </c>
      <c r="V139" s="8">
        <f>J139-T139</f>
        <v>0</v>
      </c>
      <c r="W139" s="39">
        <f t="shared" si="33"/>
        <v>0</v>
      </c>
      <c r="X139" s="39"/>
      <c r="Y139" s="166"/>
      <c r="Z139" s="46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26" customFormat="1" ht="13.5">
      <c r="A140" s="120"/>
      <c r="B140" s="271" t="s">
        <v>264</v>
      </c>
      <c r="C140" s="118"/>
      <c r="D140" s="120"/>
      <c r="E140" s="120"/>
      <c r="F140" s="120"/>
      <c r="G140" s="118"/>
      <c r="H140" s="120"/>
      <c r="I140" s="120"/>
      <c r="J140" s="122">
        <f>J141</f>
        <v>29100000</v>
      </c>
      <c r="K140" s="122"/>
      <c r="L140" s="122"/>
      <c r="M140" s="125"/>
      <c r="N140" s="124">
        <f>N141</f>
        <v>29100000</v>
      </c>
      <c r="O140" s="128"/>
      <c r="P140" s="169"/>
      <c r="Q140" s="169"/>
      <c r="R140" s="124">
        <f aca="true" t="shared" si="41" ref="R140:T141">R141</f>
        <v>29100000</v>
      </c>
      <c r="S140" s="124">
        <f t="shared" si="41"/>
        <v>0</v>
      </c>
      <c r="T140" s="124">
        <f t="shared" si="41"/>
        <v>29100000</v>
      </c>
      <c r="U140" s="150"/>
      <c r="V140" s="125">
        <f>V141</f>
        <v>0</v>
      </c>
      <c r="W140" s="150"/>
      <c r="X140" s="122"/>
      <c r="Y140" s="51"/>
      <c r="Z140" s="45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s="26" customFormat="1" ht="13.5">
      <c r="A141" s="107"/>
      <c r="B141" s="242" t="s">
        <v>265</v>
      </c>
      <c r="C141" s="108" t="s">
        <v>275</v>
      </c>
      <c r="D141" s="107" t="s">
        <v>76</v>
      </c>
      <c r="E141" s="107" t="s">
        <v>306</v>
      </c>
      <c r="F141" s="107" t="s">
        <v>75</v>
      </c>
      <c r="G141" s="10" t="s">
        <v>28</v>
      </c>
      <c r="H141" s="102" t="s">
        <v>5</v>
      </c>
      <c r="I141" s="107"/>
      <c r="J141" s="85">
        <f>J142</f>
        <v>29100000</v>
      </c>
      <c r="K141" s="85"/>
      <c r="L141" s="85"/>
      <c r="M141" s="105"/>
      <c r="N141" s="89">
        <f>N142</f>
        <v>29100000</v>
      </c>
      <c r="O141" s="85">
        <f t="shared" si="35"/>
        <v>100</v>
      </c>
      <c r="P141" s="170" t="s">
        <v>139</v>
      </c>
      <c r="Q141" s="170" t="s">
        <v>314</v>
      </c>
      <c r="R141" s="89">
        <f t="shared" si="41"/>
        <v>29100000</v>
      </c>
      <c r="S141" s="89">
        <f t="shared" si="41"/>
        <v>0</v>
      </c>
      <c r="T141" s="89">
        <f t="shared" si="41"/>
        <v>29100000</v>
      </c>
      <c r="U141" s="85">
        <f>T141/N141*100</f>
        <v>100</v>
      </c>
      <c r="V141" s="86">
        <f>V142</f>
        <v>0</v>
      </c>
      <c r="W141" s="85">
        <f t="shared" si="33"/>
        <v>0</v>
      </c>
      <c r="X141" s="85"/>
      <c r="Y141" s="51"/>
      <c r="Z141" s="45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s="25" customFormat="1" ht="13.5">
      <c r="A142" s="84"/>
      <c r="B142" s="247" t="s">
        <v>266</v>
      </c>
      <c r="C142" s="87" t="s">
        <v>120</v>
      </c>
      <c r="D142" s="84" t="s">
        <v>76</v>
      </c>
      <c r="E142" s="84" t="s">
        <v>306</v>
      </c>
      <c r="F142" s="84" t="s">
        <v>75</v>
      </c>
      <c r="G142" s="9" t="s">
        <v>28</v>
      </c>
      <c r="H142" s="5" t="s">
        <v>5</v>
      </c>
      <c r="I142" s="84"/>
      <c r="J142" s="39">
        <v>29100000</v>
      </c>
      <c r="K142" s="39"/>
      <c r="L142" s="39"/>
      <c r="M142" s="7" t="s">
        <v>221</v>
      </c>
      <c r="N142" s="88">
        <v>29100000</v>
      </c>
      <c r="O142" s="39">
        <f t="shared" si="35"/>
        <v>100</v>
      </c>
      <c r="P142" s="91" t="s">
        <v>139</v>
      </c>
      <c r="Q142" s="91" t="s">
        <v>314</v>
      </c>
      <c r="R142" s="88">
        <v>29100000</v>
      </c>
      <c r="S142" s="88"/>
      <c r="T142" s="88">
        <f>R142+S142</f>
        <v>29100000</v>
      </c>
      <c r="U142" s="39">
        <f>T142/N142*100</f>
        <v>100</v>
      </c>
      <c r="V142" s="8">
        <f>J142-T142</f>
        <v>0</v>
      </c>
      <c r="W142" s="39">
        <f t="shared" si="33"/>
        <v>0</v>
      </c>
      <c r="X142" s="39"/>
      <c r="Y142" s="166"/>
      <c r="Z142" s="46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26" customFormat="1" ht="27">
      <c r="A143" s="220">
        <v>5</v>
      </c>
      <c r="B143" s="272" t="s">
        <v>276</v>
      </c>
      <c r="C143" s="221"/>
      <c r="D143" s="220"/>
      <c r="E143" s="220"/>
      <c r="F143" s="220"/>
      <c r="G143" s="221"/>
      <c r="H143" s="220"/>
      <c r="I143" s="220"/>
      <c r="J143" s="222">
        <f>J144+J161</f>
        <v>138531800</v>
      </c>
      <c r="K143" s="222"/>
      <c r="L143" s="222"/>
      <c r="M143" s="222"/>
      <c r="N143" s="222">
        <f aca="true" t="shared" si="42" ref="N143:V143">N144+N161</f>
        <v>138531800</v>
      </c>
      <c r="O143" s="222">
        <f>N143/J143*100</f>
        <v>100</v>
      </c>
      <c r="P143" s="222"/>
      <c r="Q143" s="222"/>
      <c r="R143" s="279">
        <f t="shared" si="42"/>
        <v>71100000</v>
      </c>
      <c r="S143" s="279">
        <f t="shared" si="42"/>
        <v>65530500</v>
      </c>
      <c r="T143" s="279">
        <f t="shared" si="42"/>
        <v>136630500</v>
      </c>
      <c r="U143" s="222">
        <f>T143/J143*100</f>
        <v>98.62753533845658</v>
      </c>
      <c r="V143" s="222">
        <f t="shared" si="42"/>
        <v>1901300</v>
      </c>
      <c r="W143" s="222">
        <f>V143/J143*100</f>
        <v>1.3724646615434146</v>
      </c>
      <c r="X143" s="222"/>
      <c r="Y143" s="51"/>
      <c r="Z143" s="45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s="26" customFormat="1" ht="13.5">
      <c r="A144" s="120"/>
      <c r="B144" s="271" t="s">
        <v>79</v>
      </c>
      <c r="C144" s="118"/>
      <c r="D144" s="120"/>
      <c r="E144" s="120"/>
      <c r="F144" s="120"/>
      <c r="G144" s="118"/>
      <c r="H144" s="120"/>
      <c r="I144" s="120"/>
      <c r="J144" s="122">
        <f>J145+J147+J153+J155+J157+J159</f>
        <v>67281800</v>
      </c>
      <c r="K144" s="122"/>
      <c r="L144" s="122"/>
      <c r="M144" s="122"/>
      <c r="N144" s="122">
        <f aca="true" t="shared" si="43" ref="N144:V144">N145+N147+N153+N155+N157+N159</f>
        <v>67281800</v>
      </c>
      <c r="O144" s="122">
        <f>N144/J144*100</f>
        <v>100</v>
      </c>
      <c r="P144" s="122"/>
      <c r="Q144" s="122"/>
      <c r="R144" s="124">
        <f t="shared" si="43"/>
        <v>0</v>
      </c>
      <c r="S144" s="124">
        <f t="shared" si="43"/>
        <v>65530500</v>
      </c>
      <c r="T144" s="124">
        <f t="shared" si="43"/>
        <v>65530500</v>
      </c>
      <c r="U144" s="122">
        <f>T144/J144*100</f>
        <v>97.3970672603884</v>
      </c>
      <c r="V144" s="122">
        <f t="shared" si="43"/>
        <v>1751300</v>
      </c>
      <c r="W144" s="122">
        <f>V144/J144*100</f>
        <v>2.6029327396116035</v>
      </c>
      <c r="X144" s="122"/>
      <c r="Y144" s="51"/>
      <c r="Z144" s="45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s="26" customFormat="1" ht="13.5">
      <c r="A145" s="107"/>
      <c r="B145" s="242" t="s">
        <v>256</v>
      </c>
      <c r="C145" s="108" t="s">
        <v>269</v>
      </c>
      <c r="D145" s="107" t="s">
        <v>76</v>
      </c>
      <c r="E145" s="107" t="s">
        <v>306</v>
      </c>
      <c r="F145" s="107" t="s">
        <v>75</v>
      </c>
      <c r="G145" s="10" t="s">
        <v>28</v>
      </c>
      <c r="H145" s="102" t="s">
        <v>5</v>
      </c>
      <c r="I145" s="107"/>
      <c r="J145" s="243">
        <f aca="true" t="shared" si="44" ref="J145:X145">J146</f>
        <v>2271800</v>
      </c>
      <c r="K145" s="243">
        <f t="shared" si="44"/>
        <v>0</v>
      </c>
      <c r="L145" s="243">
        <f t="shared" si="44"/>
        <v>0</v>
      </c>
      <c r="M145" s="243"/>
      <c r="N145" s="243">
        <f t="shared" si="44"/>
        <v>2271800</v>
      </c>
      <c r="O145" s="243">
        <f>N145/J145*100</f>
        <v>100</v>
      </c>
      <c r="P145" s="243" t="str">
        <f t="shared" si="44"/>
        <v>feb</v>
      </c>
      <c r="Q145" s="243" t="s">
        <v>141</v>
      </c>
      <c r="R145" s="243">
        <f t="shared" si="44"/>
        <v>0</v>
      </c>
      <c r="S145" s="243">
        <f t="shared" si="44"/>
        <v>2257500</v>
      </c>
      <c r="T145" s="243">
        <f t="shared" si="44"/>
        <v>2257500</v>
      </c>
      <c r="U145" s="243">
        <f>T145/J145*100</f>
        <v>99.3705431816181</v>
      </c>
      <c r="V145" s="243">
        <f t="shared" si="44"/>
        <v>14300</v>
      </c>
      <c r="W145" s="243">
        <f t="shared" si="44"/>
        <v>0.6294568183818998</v>
      </c>
      <c r="X145" s="243">
        <f t="shared" si="44"/>
        <v>0</v>
      </c>
      <c r="Y145" s="51"/>
      <c r="Z145" s="45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s="25" customFormat="1" ht="27">
      <c r="A146" s="84"/>
      <c r="B146" s="247" t="s">
        <v>277</v>
      </c>
      <c r="C146" s="87" t="s">
        <v>289</v>
      </c>
      <c r="D146" s="84" t="s">
        <v>76</v>
      </c>
      <c r="E146" s="84" t="s">
        <v>306</v>
      </c>
      <c r="F146" s="84" t="s">
        <v>75</v>
      </c>
      <c r="G146" s="9" t="s">
        <v>28</v>
      </c>
      <c r="H146" s="5" t="s">
        <v>5</v>
      </c>
      <c r="I146" s="84"/>
      <c r="J146" s="248">
        <v>2271800</v>
      </c>
      <c r="K146" s="39"/>
      <c r="L146" s="39"/>
      <c r="M146" s="7" t="s">
        <v>221</v>
      </c>
      <c r="N146" s="88">
        <v>2271800</v>
      </c>
      <c r="O146" s="248">
        <f aca="true" t="shared" si="45" ref="O146:O163">N146/J146*100</f>
        <v>100</v>
      </c>
      <c r="P146" s="91" t="s">
        <v>141</v>
      </c>
      <c r="Q146" s="91" t="s">
        <v>141</v>
      </c>
      <c r="R146" s="88"/>
      <c r="S146" s="88">
        <v>2257500</v>
      </c>
      <c r="T146" s="88">
        <f aca="true" t="shared" si="46" ref="T146:T163">R146+S146</f>
        <v>2257500</v>
      </c>
      <c r="U146" s="248">
        <f aca="true" t="shared" si="47" ref="U146:U160">T146/J146*100</f>
        <v>99.3705431816181</v>
      </c>
      <c r="V146" s="8">
        <f aca="true" t="shared" si="48" ref="V146:V163">J146-T146</f>
        <v>14300</v>
      </c>
      <c r="W146" s="39">
        <f aca="true" t="shared" si="49" ref="W146:W163">V146/J146*100</f>
        <v>0.6294568183818998</v>
      </c>
      <c r="X146" s="39"/>
      <c r="Y146" s="166"/>
      <c r="Z146" s="46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26" customFormat="1" ht="13.5">
      <c r="A147" s="107"/>
      <c r="B147" s="242" t="s">
        <v>106</v>
      </c>
      <c r="C147" s="108" t="s">
        <v>114</v>
      </c>
      <c r="D147" s="107" t="s">
        <v>76</v>
      </c>
      <c r="E147" s="107" t="s">
        <v>306</v>
      </c>
      <c r="F147" s="107" t="s">
        <v>75</v>
      </c>
      <c r="G147" s="10" t="s">
        <v>28</v>
      </c>
      <c r="H147" s="102" t="s">
        <v>5</v>
      </c>
      <c r="I147" s="107"/>
      <c r="J147" s="243">
        <f>SUM(J148:J152)</f>
        <v>17550000</v>
      </c>
      <c r="K147" s="243">
        <f aca="true" t="shared" si="50" ref="K147:X147">SUM(K148:K152)</f>
        <v>0</v>
      </c>
      <c r="L147" s="243">
        <f t="shared" si="50"/>
        <v>0</v>
      </c>
      <c r="M147" s="243">
        <f t="shared" si="50"/>
        <v>0</v>
      </c>
      <c r="N147" s="243">
        <f t="shared" si="50"/>
        <v>17550000</v>
      </c>
      <c r="O147" s="243">
        <f t="shared" si="45"/>
        <v>100</v>
      </c>
      <c r="P147" s="243">
        <f t="shared" si="50"/>
        <v>0</v>
      </c>
      <c r="Q147" s="243"/>
      <c r="R147" s="243">
        <f t="shared" si="50"/>
        <v>0</v>
      </c>
      <c r="S147" s="243">
        <f t="shared" si="50"/>
        <v>17325000</v>
      </c>
      <c r="T147" s="243">
        <f t="shared" si="50"/>
        <v>17325000</v>
      </c>
      <c r="U147" s="243">
        <f t="shared" si="47"/>
        <v>98.71794871794873</v>
      </c>
      <c r="V147" s="243">
        <f t="shared" si="50"/>
        <v>225000</v>
      </c>
      <c r="W147" s="243">
        <f>V147/J147*100</f>
        <v>1.282051282051282</v>
      </c>
      <c r="X147" s="243">
        <f t="shared" si="50"/>
        <v>0</v>
      </c>
      <c r="Y147" s="51"/>
      <c r="Z147" s="45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s="25" customFormat="1" ht="13.5">
      <c r="A148" s="84"/>
      <c r="B148" s="247" t="s">
        <v>278</v>
      </c>
      <c r="C148" s="87" t="s">
        <v>135</v>
      </c>
      <c r="D148" s="84" t="s">
        <v>76</v>
      </c>
      <c r="E148" s="84" t="s">
        <v>306</v>
      </c>
      <c r="F148" s="84" t="s">
        <v>75</v>
      </c>
      <c r="G148" s="9" t="s">
        <v>28</v>
      </c>
      <c r="H148" s="5" t="s">
        <v>5</v>
      </c>
      <c r="I148" s="84"/>
      <c r="J148" s="248">
        <v>1400000</v>
      </c>
      <c r="K148" s="39"/>
      <c r="L148" s="39"/>
      <c r="M148" s="7" t="s">
        <v>221</v>
      </c>
      <c r="N148" s="88">
        <v>1400000</v>
      </c>
      <c r="O148" s="248">
        <f t="shared" si="45"/>
        <v>100</v>
      </c>
      <c r="P148" s="91" t="s">
        <v>141</v>
      </c>
      <c r="Q148" s="91" t="s">
        <v>141</v>
      </c>
      <c r="R148" s="88"/>
      <c r="S148" s="88">
        <v>1400000</v>
      </c>
      <c r="T148" s="88">
        <f t="shared" si="46"/>
        <v>1400000</v>
      </c>
      <c r="U148" s="248">
        <f t="shared" si="47"/>
        <v>100</v>
      </c>
      <c r="V148" s="8">
        <f t="shared" si="48"/>
        <v>0</v>
      </c>
      <c r="W148" s="39">
        <f t="shared" si="49"/>
        <v>0</v>
      </c>
      <c r="X148" s="39"/>
      <c r="Y148" s="166"/>
      <c r="Z148" s="46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25" customFormat="1" ht="13.5">
      <c r="A149" s="84"/>
      <c r="B149" s="247" t="s">
        <v>279</v>
      </c>
      <c r="C149" s="87" t="s">
        <v>290</v>
      </c>
      <c r="D149" s="84" t="s">
        <v>76</v>
      </c>
      <c r="E149" s="84" t="s">
        <v>306</v>
      </c>
      <c r="F149" s="84" t="s">
        <v>75</v>
      </c>
      <c r="G149" s="9" t="s">
        <v>28</v>
      </c>
      <c r="H149" s="5" t="s">
        <v>5</v>
      </c>
      <c r="I149" s="84"/>
      <c r="J149" s="248">
        <v>450000</v>
      </c>
      <c r="K149" s="39"/>
      <c r="L149" s="39"/>
      <c r="M149" s="7" t="s">
        <v>221</v>
      </c>
      <c r="N149" s="88">
        <v>450000</v>
      </c>
      <c r="O149" s="248">
        <f t="shared" si="45"/>
        <v>100</v>
      </c>
      <c r="P149" s="91" t="s">
        <v>141</v>
      </c>
      <c r="Q149" s="91" t="s">
        <v>141</v>
      </c>
      <c r="R149" s="88"/>
      <c r="S149" s="88">
        <v>225000</v>
      </c>
      <c r="T149" s="88">
        <f t="shared" si="46"/>
        <v>225000</v>
      </c>
      <c r="U149" s="248">
        <f t="shared" si="47"/>
        <v>50</v>
      </c>
      <c r="V149" s="8">
        <f t="shared" si="48"/>
        <v>225000</v>
      </c>
      <c r="W149" s="39">
        <f t="shared" si="49"/>
        <v>50</v>
      </c>
      <c r="X149" s="39"/>
      <c r="Y149" s="166"/>
      <c r="Z149" s="46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25" customFormat="1" ht="13.5">
      <c r="A150" s="84"/>
      <c r="B150" s="247" t="s">
        <v>81</v>
      </c>
      <c r="C150" s="87" t="s">
        <v>137</v>
      </c>
      <c r="D150" s="84" t="s">
        <v>76</v>
      </c>
      <c r="E150" s="84" t="s">
        <v>306</v>
      </c>
      <c r="F150" s="84" t="s">
        <v>75</v>
      </c>
      <c r="G150" s="9" t="s">
        <v>28</v>
      </c>
      <c r="H150" s="5" t="s">
        <v>5</v>
      </c>
      <c r="I150" s="84"/>
      <c r="J150" s="248">
        <v>3000000</v>
      </c>
      <c r="K150" s="39"/>
      <c r="L150" s="39"/>
      <c r="M150" s="7" t="s">
        <v>299</v>
      </c>
      <c r="N150" s="88">
        <v>3000000</v>
      </c>
      <c r="O150" s="248">
        <f t="shared" si="45"/>
        <v>100</v>
      </c>
      <c r="P150" s="91" t="s">
        <v>141</v>
      </c>
      <c r="Q150" s="91" t="s">
        <v>141</v>
      </c>
      <c r="R150" s="88"/>
      <c r="S150" s="88">
        <v>3000000</v>
      </c>
      <c r="T150" s="88">
        <f t="shared" si="46"/>
        <v>3000000</v>
      </c>
      <c r="U150" s="248">
        <f t="shared" si="47"/>
        <v>100</v>
      </c>
      <c r="V150" s="8">
        <f t="shared" si="48"/>
        <v>0</v>
      </c>
      <c r="W150" s="39">
        <f t="shared" si="49"/>
        <v>0</v>
      </c>
      <c r="X150" s="39"/>
      <c r="Y150" s="166"/>
      <c r="Z150" s="46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25" customFormat="1" ht="13.5">
      <c r="A151" s="84"/>
      <c r="B151" s="247" t="s">
        <v>280</v>
      </c>
      <c r="C151" s="87" t="s">
        <v>291</v>
      </c>
      <c r="D151" s="84" t="s">
        <v>76</v>
      </c>
      <c r="E151" s="84" t="s">
        <v>306</v>
      </c>
      <c r="F151" s="84" t="s">
        <v>75</v>
      </c>
      <c r="G151" s="9" t="s">
        <v>28</v>
      </c>
      <c r="H151" s="5" t="s">
        <v>5</v>
      </c>
      <c r="I151" s="84"/>
      <c r="J151" s="248">
        <v>10100000</v>
      </c>
      <c r="K151" s="39"/>
      <c r="L151" s="39"/>
      <c r="M151" s="7" t="s">
        <v>299</v>
      </c>
      <c r="N151" s="88">
        <v>10100000</v>
      </c>
      <c r="O151" s="248">
        <f t="shared" si="45"/>
        <v>100</v>
      </c>
      <c r="P151" s="91" t="s">
        <v>141</v>
      </c>
      <c r="Q151" s="91" t="s">
        <v>141</v>
      </c>
      <c r="R151" s="88"/>
      <c r="S151" s="88">
        <v>10100000</v>
      </c>
      <c r="T151" s="88">
        <f t="shared" si="46"/>
        <v>10100000</v>
      </c>
      <c r="U151" s="248">
        <f t="shared" si="47"/>
        <v>100</v>
      </c>
      <c r="V151" s="8">
        <f t="shared" si="48"/>
        <v>0</v>
      </c>
      <c r="W151" s="39">
        <f t="shared" si="49"/>
        <v>0</v>
      </c>
      <c r="X151" s="39"/>
      <c r="Y151" s="166"/>
      <c r="Z151" s="46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25" customFormat="1" ht="13.5">
      <c r="A152" s="84"/>
      <c r="B152" s="247" t="s">
        <v>281</v>
      </c>
      <c r="C152" s="87" t="s">
        <v>292</v>
      </c>
      <c r="D152" s="84" t="s">
        <v>76</v>
      </c>
      <c r="E152" s="84" t="s">
        <v>306</v>
      </c>
      <c r="F152" s="84" t="s">
        <v>75</v>
      </c>
      <c r="G152" s="9" t="s">
        <v>28</v>
      </c>
      <c r="H152" s="5" t="s">
        <v>5</v>
      </c>
      <c r="I152" s="84"/>
      <c r="J152" s="248">
        <v>2600000</v>
      </c>
      <c r="K152" s="39"/>
      <c r="L152" s="39"/>
      <c r="M152" s="7" t="s">
        <v>299</v>
      </c>
      <c r="N152" s="88">
        <v>2600000</v>
      </c>
      <c r="O152" s="248">
        <f t="shared" si="45"/>
        <v>100</v>
      </c>
      <c r="P152" s="91" t="s">
        <v>141</v>
      </c>
      <c r="Q152" s="91" t="s">
        <v>141</v>
      </c>
      <c r="R152" s="88"/>
      <c r="S152" s="88">
        <v>2600000</v>
      </c>
      <c r="T152" s="88">
        <f t="shared" si="46"/>
        <v>2600000</v>
      </c>
      <c r="U152" s="248">
        <f t="shared" si="47"/>
        <v>100</v>
      </c>
      <c r="V152" s="8">
        <f t="shared" si="48"/>
        <v>0</v>
      </c>
      <c r="W152" s="39">
        <f t="shared" si="49"/>
        <v>0</v>
      </c>
      <c r="X152" s="39"/>
      <c r="Y152" s="166"/>
      <c r="Z152" s="46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26" customFormat="1" ht="13.5">
      <c r="A153" s="107"/>
      <c r="B153" s="242" t="s">
        <v>92</v>
      </c>
      <c r="C153" s="218" t="s">
        <v>117</v>
      </c>
      <c r="D153" s="219" t="s">
        <v>76</v>
      </c>
      <c r="E153" s="219" t="s">
        <v>306</v>
      </c>
      <c r="F153" s="219" t="s">
        <v>75</v>
      </c>
      <c r="G153" s="206" t="s">
        <v>28</v>
      </c>
      <c r="H153" s="207" t="s">
        <v>5</v>
      </c>
      <c r="I153" s="219"/>
      <c r="J153" s="273">
        <f>J154</f>
        <v>1560000</v>
      </c>
      <c r="K153" s="243"/>
      <c r="L153" s="243"/>
      <c r="M153" s="274"/>
      <c r="N153" s="243">
        <f aca="true" t="shared" si="51" ref="N153:X153">N154</f>
        <v>1560000</v>
      </c>
      <c r="O153" s="243">
        <f t="shared" si="45"/>
        <v>100</v>
      </c>
      <c r="P153" s="243"/>
      <c r="Q153" s="243"/>
      <c r="R153" s="243">
        <f t="shared" si="51"/>
        <v>0</v>
      </c>
      <c r="S153" s="243">
        <f t="shared" si="51"/>
        <v>1548000</v>
      </c>
      <c r="T153" s="243">
        <f t="shared" si="51"/>
        <v>1548000</v>
      </c>
      <c r="U153" s="243">
        <f t="shared" si="47"/>
        <v>99.23076923076923</v>
      </c>
      <c r="V153" s="243">
        <f t="shared" si="51"/>
        <v>12000</v>
      </c>
      <c r="W153" s="243">
        <f t="shared" si="51"/>
        <v>0.7692307692307693</v>
      </c>
      <c r="X153" s="243">
        <f t="shared" si="51"/>
        <v>0</v>
      </c>
      <c r="Y153" s="51"/>
      <c r="Z153" s="45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s="25" customFormat="1" ht="27">
      <c r="A154" s="84"/>
      <c r="B154" s="247" t="s">
        <v>193</v>
      </c>
      <c r="C154" s="87" t="s">
        <v>118</v>
      </c>
      <c r="D154" s="84" t="s">
        <v>76</v>
      </c>
      <c r="E154" s="84" t="s">
        <v>306</v>
      </c>
      <c r="F154" s="84" t="s">
        <v>75</v>
      </c>
      <c r="G154" s="9" t="s">
        <v>28</v>
      </c>
      <c r="H154" s="5" t="s">
        <v>5</v>
      </c>
      <c r="I154" s="84"/>
      <c r="J154" s="248">
        <v>1560000</v>
      </c>
      <c r="K154" s="39"/>
      <c r="L154" s="39"/>
      <c r="M154" s="7" t="s">
        <v>221</v>
      </c>
      <c r="N154" s="88">
        <v>1560000</v>
      </c>
      <c r="O154" s="248">
        <f t="shared" si="45"/>
        <v>100</v>
      </c>
      <c r="P154" s="91" t="s">
        <v>141</v>
      </c>
      <c r="Q154" s="91" t="s">
        <v>141</v>
      </c>
      <c r="R154" s="88"/>
      <c r="S154" s="88">
        <v>1548000</v>
      </c>
      <c r="T154" s="88">
        <f t="shared" si="46"/>
        <v>1548000</v>
      </c>
      <c r="U154" s="248">
        <f t="shared" si="47"/>
        <v>99.23076923076923</v>
      </c>
      <c r="V154" s="8">
        <f t="shared" si="48"/>
        <v>12000</v>
      </c>
      <c r="W154" s="39">
        <f t="shared" si="49"/>
        <v>0.7692307692307693</v>
      </c>
      <c r="X154" s="39"/>
      <c r="Y154" s="166"/>
      <c r="Z154" s="46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26" customFormat="1" ht="27">
      <c r="A155" s="107"/>
      <c r="B155" s="242" t="s">
        <v>282</v>
      </c>
      <c r="C155" s="108" t="s">
        <v>293</v>
      </c>
      <c r="D155" s="107" t="s">
        <v>76</v>
      </c>
      <c r="E155" s="107" t="s">
        <v>306</v>
      </c>
      <c r="F155" s="107" t="s">
        <v>75</v>
      </c>
      <c r="G155" s="10" t="s">
        <v>28</v>
      </c>
      <c r="H155" s="102" t="s">
        <v>5</v>
      </c>
      <c r="I155" s="107"/>
      <c r="J155" s="243">
        <f>J156</f>
        <v>12000000</v>
      </c>
      <c r="K155" s="243">
        <f aca="true" t="shared" si="52" ref="K155:X155">K156</f>
        <v>0</v>
      </c>
      <c r="L155" s="243">
        <f t="shared" si="52"/>
        <v>0</v>
      </c>
      <c r="M155" s="243"/>
      <c r="N155" s="243">
        <f t="shared" si="52"/>
        <v>12000000</v>
      </c>
      <c r="O155" s="243">
        <f t="shared" si="45"/>
        <v>100</v>
      </c>
      <c r="P155" s="243"/>
      <c r="Q155" s="243"/>
      <c r="R155" s="243">
        <f t="shared" si="52"/>
        <v>0</v>
      </c>
      <c r="S155" s="243">
        <f t="shared" si="52"/>
        <v>12000000</v>
      </c>
      <c r="T155" s="243">
        <f t="shared" si="52"/>
        <v>12000000</v>
      </c>
      <c r="U155" s="243">
        <f t="shared" si="47"/>
        <v>100</v>
      </c>
      <c r="V155" s="243">
        <f t="shared" si="52"/>
        <v>0</v>
      </c>
      <c r="W155" s="243">
        <f t="shared" si="52"/>
        <v>0</v>
      </c>
      <c r="X155" s="243">
        <f t="shared" si="52"/>
        <v>0</v>
      </c>
      <c r="Y155" s="51"/>
      <c r="Z155" s="45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s="25" customFormat="1" ht="13.5">
      <c r="A156" s="84"/>
      <c r="B156" s="247" t="s">
        <v>283</v>
      </c>
      <c r="C156" s="87" t="s">
        <v>294</v>
      </c>
      <c r="D156" s="84" t="s">
        <v>76</v>
      </c>
      <c r="E156" s="84" t="s">
        <v>306</v>
      </c>
      <c r="F156" s="84" t="s">
        <v>75</v>
      </c>
      <c r="G156" s="9" t="s">
        <v>28</v>
      </c>
      <c r="H156" s="5" t="s">
        <v>5</v>
      </c>
      <c r="I156" s="84"/>
      <c r="J156" s="248">
        <v>12000000</v>
      </c>
      <c r="K156" s="39"/>
      <c r="L156" s="39"/>
      <c r="M156" s="7" t="s">
        <v>221</v>
      </c>
      <c r="N156" s="88">
        <v>12000000</v>
      </c>
      <c r="O156" s="248">
        <f t="shared" si="45"/>
        <v>100</v>
      </c>
      <c r="P156" s="91" t="s">
        <v>141</v>
      </c>
      <c r="Q156" s="91" t="s">
        <v>141</v>
      </c>
      <c r="R156" s="88"/>
      <c r="S156" s="88">
        <v>12000000</v>
      </c>
      <c r="T156" s="88">
        <f t="shared" si="46"/>
        <v>12000000</v>
      </c>
      <c r="U156" s="248">
        <f t="shared" si="47"/>
        <v>100</v>
      </c>
      <c r="V156" s="8">
        <f>J156-T156</f>
        <v>0</v>
      </c>
      <c r="W156" s="39">
        <f t="shared" si="49"/>
        <v>0</v>
      </c>
      <c r="X156" s="39"/>
      <c r="Y156" s="166"/>
      <c r="Z156" s="46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s="26" customFormat="1" ht="13.5">
      <c r="A157" s="107"/>
      <c r="B157" s="242" t="s">
        <v>259</v>
      </c>
      <c r="C157" s="108" t="s">
        <v>132</v>
      </c>
      <c r="D157" s="107" t="s">
        <v>76</v>
      </c>
      <c r="E157" s="107" t="s">
        <v>306</v>
      </c>
      <c r="F157" s="107" t="s">
        <v>75</v>
      </c>
      <c r="G157" s="10" t="s">
        <v>28</v>
      </c>
      <c r="H157" s="102" t="s">
        <v>5</v>
      </c>
      <c r="I157" s="107"/>
      <c r="J157" s="243">
        <f>J158</f>
        <v>32400000</v>
      </c>
      <c r="K157" s="243">
        <f aca="true" t="shared" si="53" ref="K157:X157">K158</f>
        <v>0</v>
      </c>
      <c r="L157" s="243">
        <f t="shared" si="53"/>
        <v>0</v>
      </c>
      <c r="M157" s="243"/>
      <c r="N157" s="243">
        <f t="shared" si="53"/>
        <v>32400000</v>
      </c>
      <c r="O157" s="243">
        <f t="shared" si="45"/>
        <v>100</v>
      </c>
      <c r="P157" s="243"/>
      <c r="Q157" s="243"/>
      <c r="R157" s="243">
        <f t="shared" si="53"/>
        <v>0</v>
      </c>
      <c r="S157" s="243">
        <f t="shared" si="53"/>
        <v>32400000</v>
      </c>
      <c r="T157" s="243">
        <f t="shared" si="53"/>
        <v>32400000</v>
      </c>
      <c r="U157" s="243">
        <f t="shared" si="47"/>
        <v>100</v>
      </c>
      <c r="V157" s="243">
        <f t="shared" si="53"/>
        <v>0</v>
      </c>
      <c r="W157" s="243">
        <f t="shared" si="53"/>
        <v>0</v>
      </c>
      <c r="X157" s="243">
        <f t="shared" si="53"/>
        <v>0</v>
      </c>
      <c r="Y157" s="51"/>
      <c r="Z157" s="45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s="25" customFormat="1" ht="13.5">
      <c r="A158" s="84"/>
      <c r="B158" s="247" t="s">
        <v>284</v>
      </c>
      <c r="C158" s="87" t="s">
        <v>138</v>
      </c>
      <c r="D158" s="84" t="s">
        <v>76</v>
      </c>
      <c r="E158" s="84" t="s">
        <v>306</v>
      </c>
      <c r="F158" s="84" t="s">
        <v>75</v>
      </c>
      <c r="G158" s="9" t="s">
        <v>28</v>
      </c>
      <c r="H158" s="5" t="s">
        <v>5</v>
      </c>
      <c r="I158" s="84"/>
      <c r="J158" s="248">
        <v>32400000</v>
      </c>
      <c r="K158" s="39"/>
      <c r="L158" s="39"/>
      <c r="M158" s="7" t="s">
        <v>299</v>
      </c>
      <c r="N158" s="88">
        <v>32400000</v>
      </c>
      <c r="O158" s="248">
        <f t="shared" si="45"/>
        <v>100</v>
      </c>
      <c r="P158" s="91" t="s">
        <v>141</v>
      </c>
      <c r="Q158" s="91" t="s">
        <v>141</v>
      </c>
      <c r="R158" s="88"/>
      <c r="S158" s="88">
        <v>32400000</v>
      </c>
      <c r="T158" s="88">
        <f t="shared" si="46"/>
        <v>32400000</v>
      </c>
      <c r="U158" s="248">
        <f t="shared" si="47"/>
        <v>100</v>
      </c>
      <c r="V158" s="8">
        <f t="shared" si="48"/>
        <v>0</v>
      </c>
      <c r="W158" s="39">
        <f t="shared" si="49"/>
        <v>0</v>
      </c>
      <c r="X158" s="39"/>
      <c r="Y158" s="166"/>
      <c r="Z158" s="46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s="26" customFormat="1" ht="13.5">
      <c r="A159" s="107"/>
      <c r="B159" s="242" t="s">
        <v>285</v>
      </c>
      <c r="C159" s="108" t="s">
        <v>295</v>
      </c>
      <c r="D159" s="107" t="s">
        <v>76</v>
      </c>
      <c r="E159" s="107" t="s">
        <v>306</v>
      </c>
      <c r="F159" s="107" t="s">
        <v>75</v>
      </c>
      <c r="G159" s="10" t="s">
        <v>28</v>
      </c>
      <c r="H159" s="102" t="s">
        <v>5</v>
      </c>
      <c r="I159" s="107"/>
      <c r="J159" s="243">
        <f>J160</f>
        <v>1500000</v>
      </c>
      <c r="K159" s="243">
        <f aca="true" t="shared" si="54" ref="K159:X159">K160</f>
        <v>0</v>
      </c>
      <c r="L159" s="243">
        <f t="shared" si="54"/>
        <v>0</v>
      </c>
      <c r="M159" s="243"/>
      <c r="N159" s="243">
        <f t="shared" si="54"/>
        <v>1500000</v>
      </c>
      <c r="O159" s="243">
        <f t="shared" si="45"/>
        <v>100</v>
      </c>
      <c r="P159" s="243"/>
      <c r="Q159" s="243"/>
      <c r="R159" s="243">
        <f t="shared" si="54"/>
        <v>0</v>
      </c>
      <c r="S159" s="243">
        <f t="shared" si="54"/>
        <v>0</v>
      </c>
      <c r="T159" s="243">
        <f t="shared" si="54"/>
        <v>0</v>
      </c>
      <c r="U159" s="248">
        <f t="shared" si="47"/>
        <v>0</v>
      </c>
      <c r="V159" s="243">
        <f t="shared" si="54"/>
        <v>1500000</v>
      </c>
      <c r="W159" s="243">
        <f t="shared" si="54"/>
        <v>100</v>
      </c>
      <c r="X159" s="243">
        <f t="shared" si="54"/>
        <v>0</v>
      </c>
      <c r="Y159" s="51"/>
      <c r="Z159" s="45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s="25" customFormat="1" ht="13.5">
      <c r="A160" s="84"/>
      <c r="B160" s="247" t="s">
        <v>286</v>
      </c>
      <c r="C160" s="87" t="s">
        <v>296</v>
      </c>
      <c r="D160" s="84" t="s">
        <v>76</v>
      </c>
      <c r="E160" s="84" t="s">
        <v>306</v>
      </c>
      <c r="F160" s="84" t="s">
        <v>75</v>
      </c>
      <c r="G160" s="9" t="s">
        <v>28</v>
      </c>
      <c r="H160" s="5" t="s">
        <v>5</v>
      </c>
      <c r="I160" s="84"/>
      <c r="J160" s="248">
        <v>1500000</v>
      </c>
      <c r="K160" s="39"/>
      <c r="L160" s="39"/>
      <c r="M160" s="7" t="s">
        <v>299</v>
      </c>
      <c r="N160" s="88">
        <v>1500000</v>
      </c>
      <c r="O160" s="248">
        <f t="shared" si="45"/>
        <v>100</v>
      </c>
      <c r="P160" s="91" t="s">
        <v>141</v>
      </c>
      <c r="Q160" s="91" t="s">
        <v>141</v>
      </c>
      <c r="R160" s="88"/>
      <c r="S160" s="88"/>
      <c r="T160" s="88">
        <f t="shared" si="46"/>
        <v>0</v>
      </c>
      <c r="U160" s="248">
        <f t="shared" si="47"/>
        <v>0</v>
      </c>
      <c r="V160" s="8">
        <f t="shared" si="48"/>
        <v>1500000</v>
      </c>
      <c r="W160" s="39">
        <f t="shared" si="49"/>
        <v>100</v>
      </c>
      <c r="X160" s="39"/>
      <c r="Y160" s="166"/>
      <c r="Z160" s="46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s="25" customFormat="1" ht="13.5">
      <c r="A161" s="216"/>
      <c r="B161" s="271" t="s">
        <v>264</v>
      </c>
      <c r="C161" s="217"/>
      <c r="D161" s="216" t="s">
        <v>76</v>
      </c>
      <c r="E161" s="216" t="s">
        <v>306</v>
      </c>
      <c r="F161" s="216" t="s">
        <v>75</v>
      </c>
      <c r="G161" s="217" t="s">
        <v>28</v>
      </c>
      <c r="H161" s="216" t="s">
        <v>5</v>
      </c>
      <c r="I161" s="216"/>
      <c r="J161" s="239">
        <f>J162</f>
        <v>71250000</v>
      </c>
      <c r="K161" s="239">
        <f aca="true" t="shared" si="55" ref="K161:X162">K162</f>
        <v>0</v>
      </c>
      <c r="L161" s="239">
        <f t="shared" si="55"/>
        <v>0</v>
      </c>
      <c r="M161" s="239"/>
      <c r="N161" s="239">
        <f t="shared" si="55"/>
        <v>71250000</v>
      </c>
      <c r="O161" s="239">
        <f t="shared" si="45"/>
        <v>100</v>
      </c>
      <c r="P161" s="239"/>
      <c r="Q161" s="239"/>
      <c r="R161" s="239">
        <f t="shared" si="55"/>
        <v>71100000</v>
      </c>
      <c r="S161" s="239">
        <f t="shared" si="55"/>
        <v>0</v>
      </c>
      <c r="T161" s="239">
        <f t="shared" si="55"/>
        <v>71100000</v>
      </c>
      <c r="U161" s="239">
        <f>T161/J161*100</f>
        <v>99.78947368421053</v>
      </c>
      <c r="V161" s="239">
        <f t="shared" si="55"/>
        <v>150000</v>
      </c>
      <c r="W161" s="239">
        <f t="shared" si="55"/>
        <v>0.21052631578947367</v>
      </c>
      <c r="X161" s="239">
        <f t="shared" si="55"/>
        <v>0</v>
      </c>
      <c r="Y161" s="166"/>
      <c r="Z161" s="46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s="26" customFormat="1" ht="13.5">
      <c r="A162" s="107"/>
      <c r="B162" s="242" t="s">
        <v>287</v>
      </c>
      <c r="C162" s="108" t="s">
        <v>297</v>
      </c>
      <c r="D162" s="107" t="s">
        <v>76</v>
      </c>
      <c r="E162" s="107" t="s">
        <v>306</v>
      </c>
      <c r="F162" s="107" t="s">
        <v>75</v>
      </c>
      <c r="G162" s="10" t="s">
        <v>28</v>
      </c>
      <c r="H162" s="102" t="s">
        <v>5</v>
      </c>
      <c r="I162" s="107"/>
      <c r="J162" s="243">
        <f>J163</f>
        <v>71250000</v>
      </c>
      <c r="K162" s="243">
        <f t="shared" si="55"/>
        <v>0</v>
      </c>
      <c r="L162" s="243">
        <f t="shared" si="55"/>
        <v>0</v>
      </c>
      <c r="M162" s="243"/>
      <c r="N162" s="243">
        <f t="shared" si="55"/>
        <v>71250000</v>
      </c>
      <c r="O162" s="243">
        <f t="shared" si="45"/>
        <v>100</v>
      </c>
      <c r="P162" s="243"/>
      <c r="Q162" s="243"/>
      <c r="R162" s="243">
        <f t="shared" si="55"/>
        <v>71100000</v>
      </c>
      <c r="S162" s="243">
        <f t="shared" si="55"/>
        <v>0</v>
      </c>
      <c r="T162" s="243">
        <f t="shared" si="55"/>
        <v>71100000</v>
      </c>
      <c r="U162" s="243">
        <f>T162/J162*100</f>
        <v>99.78947368421053</v>
      </c>
      <c r="V162" s="243">
        <f t="shared" si="55"/>
        <v>150000</v>
      </c>
      <c r="W162" s="243">
        <f t="shared" si="55"/>
        <v>0.21052631578947367</v>
      </c>
      <c r="X162" s="243">
        <f t="shared" si="55"/>
        <v>0</v>
      </c>
      <c r="Y162" s="51"/>
      <c r="Z162" s="45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s="25" customFormat="1" ht="13.5">
      <c r="A163" s="84"/>
      <c r="B163" s="247" t="s">
        <v>288</v>
      </c>
      <c r="C163" s="87" t="s">
        <v>298</v>
      </c>
      <c r="D163" s="84" t="s">
        <v>76</v>
      </c>
      <c r="E163" s="84" t="s">
        <v>306</v>
      </c>
      <c r="F163" s="84" t="s">
        <v>75</v>
      </c>
      <c r="G163" s="9" t="s">
        <v>28</v>
      </c>
      <c r="H163" s="5" t="s">
        <v>5</v>
      </c>
      <c r="I163" s="84"/>
      <c r="J163" s="248">
        <v>71250000</v>
      </c>
      <c r="K163" s="39"/>
      <c r="L163" s="39"/>
      <c r="M163" s="7" t="s">
        <v>221</v>
      </c>
      <c r="N163" s="88">
        <v>71250000</v>
      </c>
      <c r="O163" s="248">
        <f t="shared" si="45"/>
        <v>100</v>
      </c>
      <c r="P163" s="91" t="s">
        <v>141</v>
      </c>
      <c r="Q163" s="91" t="s">
        <v>141</v>
      </c>
      <c r="R163" s="88">
        <v>71100000</v>
      </c>
      <c r="S163" s="88"/>
      <c r="T163" s="88">
        <f t="shared" si="46"/>
        <v>71100000</v>
      </c>
      <c r="U163" s="248">
        <f>T163/J163*100</f>
        <v>99.78947368421053</v>
      </c>
      <c r="V163" s="8">
        <f t="shared" si="48"/>
        <v>150000</v>
      </c>
      <c r="W163" s="39">
        <f t="shared" si="49"/>
        <v>0.21052631578947367</v>
      </c>
      <c r="X163" s="39"/>
      <c r="Y163" s="166"/>
      <c r="Z163" s="46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s="26" customFormat="1" ht="13.5" customHeight="1" thickBot="1">
      <c r="A164" s="100"/>
      <c r="B164" s="99" t="s">
        <v>7</v>
      </c>
      <c r="C164" s="100"/>
      <c r="D164" s="100"/>
      <c r="E164" s="172"/>
      <c r="F164" s="172"/>
      <c r="G164" s="172"/>
      <c r="H164" s="172"/>
      <c r="I164" s="172"/>
      <c r="J164" s="101">
        <f>J11</f>
        <v>11246303956</v>
      </c>
      <c r="K164" s="101"/>
      <c r="L164" s="101"/>
      <c r="M164" s="101"/>
      <c r="N164" s="101">
        <f aca="true" t="shared" si="56" ref="N164:W164">N11</f>
        <v>4400953297</v>
      </c>
      <c r="O164" s="101"/>
      <c r="P164" s="101"/>
      <c r="Q164" s="101"/>
      <c r="R164" s="101">
        <f t="shared" si="56"/>
        <v>811974183</v>
      </c>
      <c r="S164" s="101">
        <f t="shared" si="56"/>
        <v>1625472942</v>
      </c>
      <c r="T164" s="101">
        <f t="shared" si="56"/>
        <v>2437447125</v>
      </c>
      <c r="U164" s="101"/>
      <c r="V164" s="101">
        <f>V11</f>
        <v>8808856831</v>
      </c>
      <c r="W164" s="101">
        <f t="shared" si="56"/>
        <v>78.3266828414361</v>
      </c>
      <c r="X164" s="101"/>
      <c r="Y164" s="52"/>
      <c r="Z164" s="46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s="26" customFormat="1" ht="13.5" customHeight="1" thickTop="1">
      <c r="A165" s="93" t="s">
        <v>154</v>
      </c>
      <c r="B165" s="93"/>
      <c r="C165" s="13"/>
      <c r="D165" s="13"/>
      <c r="E165" s="14"/>
      <c r="F165" s="14"/>
      <c r="G165" s="14"/>
      <c r="H165" s="14"/>
      <c r="I165" s="14"/>
      <c r="J165" s="15"/>
      <c r="K165" s="16"/>
      <c r="L165" s="16"/>
      <c r="M165" s="154"/>
      <c r="N165" s="113"/>
      <c r="O165" s="201"/>
      <c r="P165" s="18"/>
      <c r="Q165" s="18"/>
      <c r="R165" s="113"/>
      <c r="S165" s="280"/>
      <c r="T165" s="281"/>
      <c r="U165" s="201"/>
      <c r="V165" s="19"/>
      <c r="W165" s="192"/>
      <c r="X165" s="16"/>
      <c r="Y165" s="41"/>
      <c r="Z165" s="45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s="25" customFormat="1" ht="13.5">
      <c r="A166" s="21"/>
      <c r="B166" s="22" t="s">
        <v>22</v>
      </c>
      <c r="C166" s="22"/>
      <c r="D166" s="22"/>
      <c r="E166" s="22"/>
      <c r="F166" s="22"/>
      <c r="G166" s="22"/>
      <c r="H166" s="22"/>
      <c r="I166" s="22"/>
      <c r="J166" s="180"/>
      <c r="K166" s="21"/>
      <c r="L166" s="20"/>
      <c r="M166" s="154"/>
      <c r="N166" s="114"/>
      <c r="O166" s="21"/>
      <c r="P166" s="171"/>
      <c r="Q166" s="171"/>
      <c r="R166" s="361" t="s">
        <v>317</v>
      </c>
      <c r="S166" s="361"/>
      <c r="T166" s="361"/>
      <c r="U166" s="361"/>
      <c r="V166" s="361"/>
      <c r="W166" s="361"/>
      <c r="X166" s="21"/>
      <c r="Y166" s="38"/>
      <c r="Z166" s="46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s="25" customFormat="1" ht="13.5">
      <c r="A167" s="21"/>
      <c r="B167" s="22" t="s">
        <v>304</v>
      </c>
      <c r="C167" s="22"/>
      <c r="D167" s="22"/>
      <c r="E167" s="22"/>
      <c r="F167" s="22"/>
      <c r="G167" s="22"/>
      <c r="H167" s="22"/>
      <c r="I167" s="22"/>
      <c r="J167" s="22"/>
      <c r="K167" s="21"/>
      <c r="L167" s="20"/>
      <c r="M167" s="155"/>
      <c r="N167" s="115"/>
      <c r="O167" s="21"/>
      <c r="P167" s="171"/>
      <c r="Q167" s="171"/>
      <c r="R167" s="282"/>
      <c r="S167" s="282"/>
      <c r="T167" s="283"/>
      <c r="U167" s="21"/>
      <c r="V167" s="21"/>
      <c r="W167" s="21"/>
      <c r="X167" s="21"/>
      <c r="Y167" s="38"/>
      <c r="Z167" s="46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s="25" customFormat="1" ht="13.5">
      <c r="A168" s="21"/>
      <c r="B168" s="22" t="s">
        <v>8</v>
      </c>
      <c r="C168" s="22"/>
      <c r="D168" s="22"/>
      <c r="E168" s="22"/>
      <c r="F168" s="22"/>
      <c r="G168" s="22"/>
      <c r="H168" s="22"/>
      <c r="I168" s="22"/>
      <c r="J168" s="22"/>
      <c r="K168" s="21"/>
      <c r="L168" s="20"/>
      <c r="M168" s="155"/>
      <c r="N168" s="115"/>
      <c r="O168" s="21"/>
      <c r="P168" s="171"/>
      <c r="Q168" s="171"/>
      <c r="R168" s="361" t="s">
        <v>9</v>
      </c>
      <c r="S168" s="361"/>
      <c r="T168" s="361"/>
      <c r="U168" s="361"/>
      <c r="V168" s="361"/>
      <c r="W168" s="361"/>
      <c r="X168" s="21"/>
      <c r="Y168" s="38"/>
      <c r="Z168" s="46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s="25" customFormat="1" ht="13.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1"/>
      <c r="L169" s="20"/>
      <c r="M169" s="155"/>
      <c r="N169" s="115"/>
      <c r="O169" s="21"/>
      <c r="P169" s="171"/>
      <c r="Q169" s="171"/>
      <c r="R169" s="283"/>
      <c r="S169" s="283"/>
      <c r="T169" s="283"/>
      <c r="U169" s="21"/>
      <c r="V169" s="22"/>
      <c r="W169" s="21"/>
      <c r="X169" s="21"/>
      <c r="Y169" s="38"/>
      <c r="Z169" s="46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s="25" customFormat="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155"/>
      <c r="N170" s="116"/>
      <c r="O170" s="21"/>
      <c r="P170" s="171" t="s">
        <v>39</v>
      </c>
      <c r="Q170" s="171"/>
      <c r="R170" s="282"/>
      <c r="S170" s="282"/>
      <c r="T170" s="283"/>
      <c r="U170" s="21"/>
      <c r="V170" s="21"/>
      <c r="W170" s="21"/>
      <c r="X170" s="21"/>
      <c r="Y170" s="38"/>
      <c r="Z170" s="46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s="25" customFormat="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155"/>
      <c r="N171" s="115"/>
      <c r="O171" s="21"/>
      <c r="P171" s="171"/>
      <c r="Q171" s="171"/>
      <c r="R171" s="282"/>
      <c r="S171" s="282"/>
      <c r="T171" s="283"/>
      <c r="U171" s="21"/>
      <c r="V171" s="21"/>
      <c r="W171" s="21"/>
      <c r="X171" s="21"/>
      <c r="Y171" s="38"/>
      <c r="Z171" s="46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s="25" customFormat="1" ht="12" customHeight="1">
      <c r="A172" s="21"/>
      <c r="B172" s="92" t="s">
        <v>156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155"/>
      <c r="N172" s="115"/>
      <c r="O172" s="21"/>
      <c r="P172" s="171"/>
      <c r="Q172" s="171"/>
      <c r="R172" s="282"/>
      <c r="S172" s="282"/>
      <c r="T172" s="283"/>
      <c r="U172" s="21"/>
      <c r="V172" s="21"/>
      <c r="W172" s="21"/>
      <c r="X172" s="21"/>
      <c r="Y172" s="38"/>
      <c r="Z172" s="46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s="25" customFormat="1" ht="13.5">
      <c r="A173" s="21"/>
      <c r="B173" s="4" t="s">
        <v>157</v>
      </c>
      <c r="C173" s="92"/>
      <c r="D173" s="92"/>
      <c r="E173" s="92"/>
      <c r="F173" s="92"/>
      <c r="G173" s="92"/>
      <c r="H173" s="92"/>
      <c r="I173" s="92"/>
      <c r="J173" s="92"/>
      <c r="K173" s="21"/>
      <c r="L173" s="20"/>
      <c r="M173" s="155"/>
      <c r="N173" s="115"/>
      <c r="O173" s="21"/>
      <c r="P173" s="171"/>
      <c r="Q173" s="171"/>
      <c r="R173" s="359" t="s">
        <v>155</v>
      </c>
      <c r="S173" s="359"/>
      <c r="T173" s="359"/>
      <c r="U173" s="359"/>
      <c r="V173" s="359"/>
      <c r="W173" s="359"/>
      <c r="X173" s="23"/>
      <c r="Y173" s="38"/>
      <c r="Z173" s="46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s="25" customFormat="1" ht="12.75" customHeight="1">
      <c r="A174" s="21"/>
      <c r="C174" s="4"/>
      <c r="D174" s="4"/>
      <c r="E174" s="4"/>
      <c r="F174" s="4"/>
      <c r="G174" s="4"/>
      <c r="H174" s="4"/>
      <c r="I174" s="4"/>
      <c r="J174" s="4"/>
      <c r="K174" s="21"/>
      <c r="L174" s="20"/>
      <c r="M174" s="155"/>
      <c r="N174" s="115"/>
      <c r="O174" s="21"/>
      <c r="P174" s="171"/>
      <c r="Q174" s="171"/>
      <c r="R174" s="360" t="s">
        <v>153</v>
      </c>
      <c r="S174" s="360"/>
      <c r="T174" s="360"/>
      <c r="U174" s="360"/>
      <c r="V174" s="360"/>
      <c r="W174" s="360"/>
      <c r="X174" s="21"/>
      <c r="Y174" s="38"/>
      <c r="Z174" s="47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s="25" customFormat="1" ht="13.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20"/>
      <c r="M175" s="155"/>
      <c r="N175" s="115"/>
      <c r="O175" s="21"/>
      <c r="P175" s="171"/>
      <c r="Q175" s="171"/>
      <c r="R175" s="282"/>
      <c r="S175" s="282"/>
      <c r="T175" s="282"/>
      <c r="U175" s="21"/>
      <c r="V175" s="21"/>
      <c r="W175" s="21"/>
      <c r="X175" s="21"/>
      <c r="Y175" s="49"/>
      <c r="Z175" s="48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2:26" ht="11.25" customHeight="1">
      <c r="B176" s="4"/>
      <c r="C176" s="4"/>
      <c r="D176" s="4"/>
      <c r="E176" s="4"/>
      <c r="F176" s="4"/>
      <c r="G176" s="4"/>
      <c r="H176" s="4"/>
      <c r="I176" s="4"/>
      <c r="J176" s="4"/>
      <c r="L176" s="2"/>
      <c r="M176" s="156"/>
      <c r="N176" s="50"/>
      <c r="Y176" s="17"/>
      <c r="Z176" s="50"/>
    </row>
    <row r="177" spans="2:14" ht="13.5">
      <c r="B177" s="4"/>
      <c r="C177" s="4"/>
      <c r="D177" s="4"/>
      <c r="E177" s="4"/>
      <c r="F177" s="4"/>
      <c r="G177" s="4"/>
      <c r="H177" s="4"/>
      <c r="I177" s="4"/>
      <c r="J177" s="4"/>
      <c r="L177" s="2"/>
      <c r="M177" s="156"/>
      <c r="N177" s="50"/>
    </row>
    <row r="187" spans="1:35" s="117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57"/>
      <c r="O187" s="193"/>
      <c r="P187" s="25"/>
      <c r="Q187" s="25"/>
      <c r="U187" s="193"/>
      <c r="V187" s="3"/>
      <c r="W187" s="193"/>
      <c r="X187" s="3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s="117" customFormat="1" ht="13.5">
      <c r="A188" s="3"/>
      <c r="B188" s="30"/>
      <c r="C188" s="31"/>
      <c r="D188" s="2"/>
      <c r="E188" s="1"/>
      <c r="F188" s="1"/>
      <c r="G188" s="4"/>
      <c r="H188" s="4"/>
      <c r="I188" s="4"/>
      <c r="J188" s="4"/>
      <c r="K188" s="3"/>
      <c r="L188" s="2"/>
      <c r="M188" s="156"/>
      <c r="O188" s="193"/>
      <c r="P188" s="25"/>
      <c r="Q188" s="25"/>
      <c r="U188" s="193"/>
      <c r="V188" s="3"/>
      <c r="W188" s="193"/>
      <c r="X188" s="3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s="117" customFormat="1" ht="13.5">
      <c r="A189" s="3"/>
      <c r="B189" s="30"/>
      <c r="C189" s="31"/>
      <c r="D189" s="2"/>
      <c r="E189" s="1"/>
      <c r="F189" s="1"/>
      <c r="G189" s="4"/>
      <c r="H189" s="4"/>
      <c r="I189" s="4"/>
      <c r="J189" s="4"/>
      <c r="K189" s="3"/>
      <c r="L189" s="2"/>
      <c r="M189" s="156"/>
      <c r="O189" s="193"/>
      <c r="P189" s="25"/>
      <c r="Q189" s="25"/>
      <c r="U189" s="193"/>
      <c r="V189" s="3"/>
      <c r="W189" s="193"/>
      <c r="X189" s="3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s="117" customFormat="1" ht="13.5">
      <c r="A190" s="3"/>
      <c r="B190" s="30"/>
      <c r="C190" s="31"/>
      <c r="D190" s="2"/>
      <c r="E190" s="1"/>
      <c r="F190" s="1"/>
      <c r="G190" s="4"/>
      <c r="H190" s="4"/>
      <c r="I190" s="4"/>
      <c r="J190" s="4"/>
      <c r="K190" s="3"/>
      <c r="L190" s="2"/>
      <c r="M190" s="156"/>
      <c r="O190" s="193"/>
      <c r="P190" s="25"/>
      <c r="Q190" s="25"/>
      <c r="U190" s="193"/>
      <c r="V190" s="3"/>
      <c r="W190" s="193"/>
      <c r="X190" s="3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s="117" customFormat="1" ht="13.5">
      <c r="A191" s="3"/>
      <c r="B191" s="30"/>
      <c r="C191" s="1"/>
      <c r="D191" s="2"/>
      <c r="E191" s="1"/>
      <c r="F191" s="1"/>
      <c r="G191" s="4"/>
      <c r="H191" s="4"/>
      <c r="I191" s="4"/>
      <c r="J191" s="4"/>
      <c r="K191" s="3"/>
      <c r="L191" s="2"/>
      <c r="M191" s="156"/>
      <c r="O191" s="193"/>
      <c r="P191" s="25"/>
      <c r="Q191" s="25"/>
      <c r="U191" s="193"/>
      <c r="V191" s="3"/>
      <c r="W191" s="193"/>
      <c r="X191" s="3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s="117" customFormat="1" ht="13.5">
      <c r="A192" s="3"/>
      <c r="B192" s="30"/>
      <c r="C192" s="1"/>
      <c r="D192" s="2"/>
      <c r="E192" s="1"/>
      <c r="F192" s="1"/>
      <c r="G192" s="4"/>
      <c r="H192" s="4"/>
      <c r="I192" s="4"/>
      <c r="J192" s="4"/>
      <c r="K192" s="3"/>
      <c r="L192" s="2"/>
      <c r="M192" s="156"/>
      <c r="O192" s="193"/>
      <c r="P192" s="25"/>
      <c r="Q192" s="25"/>
      <c r="U192" s="193"/>
      <c r="V192" s="3"/>
      <c r="W192" s="193"/>
      <c r="X192" s="3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s="117" customFormat="1" ht="13.5">
      <c r="A193" s="3"/>
      <c r="B193" s="30"/>
      <c r="C193" s="1"/>
      <c r="D193" s="2"/>
      <c r="E193" s="1"/>
      <c r="F193" s="1"/>
      <c r="G193" s="4"/>
      <c r="H193" s="4"/>
      <c r="I193" s="4"/>
      <c r="J193" s="4"/>
      <c r="K193" s="3"/>
      <c r="L193" s="2"/>
      <c r="M193" s="156"/>
      <c r="O193" s="193"/>
      <c r="P193" s="25"/>
      <c r="Q193" s="25"/>
      <c r="U193" s="193"/>
      <c r="V193" s="3"/>
      <c r="W193" s="193"/>
      <c r="X193" s="3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s="117" customFormat="1" ht="13.5">
      <c r="A194" s="3"/>
      <c r="B194" s="30"/>
      <c r="C194" s="1"/>
      <c r="D194" s="2"/>
      <c r="E194" s="1"/>
      <c r="F194" s="1"/>
      <c r="G194" s="4"/>
      <c r="H194" s="4"/>
      <c r="I194" s="4"/>
      <c r="J194" s="4"/>
      <c r="K194" s="3"/>
      <c r="L194" s="2"/>
      <c r="M194" s="156"/>
      <c r="O194" s="193"/>
      <c r="P194" s="25"/>
      <c r="Q194" s="25"/>
      <c r="U194" s="193"/>
      <c r="V194" s="3"/>
      <c r="W194" s="193"/>
      <c r="X194" s="3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s="117" customFormat="1" ht="13.5">
      <c r="A195" s="3"/>
      <c r="B195" s="30"/>
      <c r="C195" s="31"/>
      <c r="D195" s="2"/>
      <c r="E195" s="1"/>
      <c r="F195" s="1"/>
      <c r="G195" s="4"/>
      <c r="H195" s="4"/>
      <c r="I195" s="4"/>
      <c r="J195" s="4"/>
      <c r="K195" s="3"/>
      <c r="L195" s="2"/>
      <c r="M195" s="156"/>
      <c r="O195" s="193"/>
      <c r="P195" s="25"/>
      <c r="Q195" s="25"/>
      <c r="U195" s="193"/>
      <c r="V195" s="3"/>
      <c r="W195" s="193"/>
      <c r="X195" s="3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s="117" customFormat="1" ht="13.5">
      <c r="A196" s="3"/>
      <c r="B196" s="32"/>
      <c r="C196" s="33"/>
      <c r="D196" s="2"/>
      <c r="E196" s="1"/>
      <c r="F196" s="1"/>
      <c r="G196" s="4"/>
      <c r="H196" s="4"/>
      <c r="I196" s="4"/>
      <c r="J196" s="4"/>
      <c r="K196" s="3"/>
      <c r="L196" s="2"/>
      <c r="M196" s="156"/>
      <c r="O196" s="193"/>
      <c r="P196" s="25"/>
      <c r="Q196" s="25"/>
      <c r="U196" s="193"/>
      <c r="V196" s="3"/>
      <c r="W196" s="193"/>
      <c r="X196" s="3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s="117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56"/>
      <c r="O197" s="193"/>
      <c r="P197" s="25"/>
      <c r="Q197" s="25"/>
      <c r="U197" s="193"/>
      <c r="V197" s="3"/>
      <c r="W197" s="193"/>
      <c r="X197" s="3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s="117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56"/>
      <c r="O198" s="193"/>
      <c r="P198" s="25"/>
      <c r="Q198" s="25"/>
      <c r="U198" s="193"/>
      <c r="V198" s="3"/>
      <c r="W198" s="193"/>
      <c r="X198" s="3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s="117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56"/>
      <c r="O199" s="193"/>
      <c r="P199" s="25"/>
      <c r="Q199" s="25"/>
      <c r="U199" s="193"/>
      <c r="V199" s="3"/>
      <c r="W199" s="193"/>
      <c r="X199" s="3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s="117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56"/>
      <c r="O200" s="193"/>
      <c r="P200" s="25"/>
      <c r="Q200" s="25"/>
      <c r="U200" s="193"/>
      <c r="V200" s="3"/>
      <c r="W200" s="193"/>
      <c r="X200" s="3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</row>
    <row r="201" spans="1:35" s="117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56"/>
      <c r="O201" s="193"/>
      <c r="P201" s="25"/>
      <c r="Q201" s="25"/>
      <c r="U201" s="193"/>
      <c r="V201" s="3"/>
      <c r="W201" s="193"/>
      <c r="X201" s="3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s="117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56"/>
      <c r="O202" s="193"/>
      <c r="P202" s="25"/>
      <c r="Q202" s="25"/>
      <c r="U202" s="193"/>
      <c r="V202" s="3"/>
      <c r="W202" s="193"/>
      <c r="X202" s="3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s="117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56"/>
      <c r="O203" s="193"/>
      <c r="P203" s="25"/>
      <c r="Q203" s="25"/>
      <c r="U203" s="193"/>
      <c r="V203" s="3"/>
      <c r="W203" s="193"/>
      <c r="X203" s="3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s="117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56"/>
      <c r="O204" s="193"/>
      <c r="P204" s="25"/>
      <c r="Q204" s="25"/>
      <c r="U204" s="193"/>
      <c r="V204" s="3"/>
      <c r="W204" s="193"/>
      <c r="X204" s="3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s="117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56"/>
      <c r="O205" s="193"/>
      <c r="P205" s="25"/>
      <c r="Q205" s="25"/>
      <c r="U205" s="193"/>
      <c r="V205" s="3"/>
      <c r="W205" s="193"/>
      <c r="X205" s="3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s="117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56"/>
      <c r="O206" s="193"/>
      <c r="P206" s="25"/>
      <c r="Q206" s="25"/>
      <c r="U206" s="193"/>
      <c r="V206" s="3"/>
      <c r="W206" s="193"/>
      <c r="X206" s="3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s="117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56"/>
      <c r="O207" s="193"/>
      <c r="P207" s="25"/>
      <c r="Q207" s="25"/>
      <c r="U207" s="193"/>
      <c r="V207" s="3"/>
      <c r="W207" s="193"/>
      <c r="X207" s="3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s="117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56"/>
      <c r="O208" s="193"/>
      <c r="P208" s="25"/>
      <c r="Q208" s="25"/>
      <c r="U208" s="193"/>
      <c r="V208" s="3"/>
      <c r="W208" s="193"/>
      <c r="X208" s="3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s="117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56"/>
      <c r="O209" s="193"/>
      <c r="P209" s="25"/>
      <c r="Q209" s="25"/>
      <c r="U209" s="193"/>
      <c r="V209" s="3"/>
      <c r="W209" s="193"/>
      <c r="X209" s="3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s="117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56"/>
      <c r="O210" s="193"/>
      <c r="P210" s="25"/>
      <c r="Q210" s="25"/>
      <c r="U210" s="193"/>
      <c r="V210" s="3"/>
      <c r="W210" s="193"/>
      <c r="X210" s="3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s="117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56"/>
      <c r="O211" s="193"/>
      <c r="P211" s="25"/>
      <c r="Q211" s="25"/>
      <c r="U211" s="193"/>
      <c r="V211" s="3"/>
      <c r="W211" s="193"/>
      <c r="X211" s="3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s="117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56"/>
      <c r="O212" s="193"/>
      <c r="P212" s="25"/>
      <c r="Q212" s="25"/>
      <c r="U212" s="193"/>
      <c r="V212" s="3"/>
      <c r="W212" s="193"/>
      <c r="X212" s="3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s="117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56"/>
      <c r="O213" s="193"/>
      <c r="P213" s="25"/>
      <c r="Q213" s="25"/>
      <c r="U213" s="193"/>
      <c r="V213" s="3"/>
      <c r="W213" s="193"/>
      <c r="X213" s="3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s="117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56"/>
      <c r="O214" s="193"/>
      <c r="P214" s="25"/>
      <c r="Q214" s="25"/>
      <c r="U214" s="193"/>
      <c r="V214" s="3"/>
      <c r="W214" s="193"/>
      <c r="X214" s="3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s="117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56"/>
      <c r="O215" s="193"/>
      <c r="P215" s="25"/>
      <c r="Q215" s="25"/>
      <c r="U215" s="193"/>
      <c r="V215" s="3"/>
      <c r="W215" s="193"/>
      <c r="X215" s="3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s="117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56"/>
      <c r="O216" s="193"/>
      <c r="P216" s="25"/>
      <c r="Q216" s="25"/>
      <c r="U216" s="193"/>
      <c r="V216" s="3"/>
      <c r="W216" s="193"/>
      <c r="X216" s="3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s="117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56"/>
      <c r="O217" s="193"/>
      <c r="P217" s="25"/>
      <c r="Q217" s="25"/>
      <c r="U217" s="193"/>
      <c r="V217" s="3"/>
      <c r="W217" s="193"/>
      <c r="X217" s="3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</row>
    <row r="218" spans="1:35" s="117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56"/>
      <c r="O218" s="193"/>
      <c r="P218" s="25"/>
      <c r="Q218" s="25"/>
      <c r="U218" s="193"/>
      <c r="V218" s="3"/>
      <c r="W218" s="193"/>
      <c r="X218" s="3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s="117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56"/>
      <c r="O219" s="193"/>
      <c r="P219" s="25"/>
      <c r="Q219" s="25"/>
      <c r="U219" s="193"/>
      <c r="V219" s="3"/>
      <c r="W219" s="193"/>
      <c r="X219" s="3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s="117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56"/>
      <c r="O220" s="193"/>
      <c r="P220" s="25"/>
      <c r="Q220" s="25"/>
      <c r="U220" s="193"/>
      <c r="V220" s="3"/>
      <c r="W220" s="193"/>
      <c r="X220" s="3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7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56"/>
      <c r="O221" s="193"/>
      <c r="P221" s="25"/>
      <c r="Q221" s="25"/>
      <c r="U221" s="193"/>
      <c r="V221" s="3"/>
      <c r="W221" s="193"/>
      <c r="X221" s="3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s="117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56"/>
      <c r="O222" s="193"/>
      <c r="P222" s="25"/>
      <c r="Q222" s="25"/>
      <c r="U222" s="193"/>
      <c r="V222" s="3"/>
      <c r="W222" s="193"/>
      <c r="X222" s="3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s="117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56"/>
      <c r="O223" s="193"/>
      <c r="P223" s="25"/>
      <c r="Q223" s="25"/>
      <c r="U223" s="193"/>
      <c r="V223" s="3"/>
      <c r="W223" s="193"/>
      <c r="X223" s="3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s="117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56"/>
      <c r="O224" s="193"/>
      <c r="P224" s="25"/>
      <c r="Q224" s="25"/>
      <c r="U224" s="193"/>
      <c r="V224" s="3"/>
      <c r="W224" s="193"/>
      <c r="X224" s="3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s="117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56"/>
      <c r="O225" s="193"/>
      <c r="P225" s="25"/>
      <c r="Q225" s="25"/>
      <c r="U225" s="193"/>
      <c r="V225" s="3"/>
      <c r="W225" s="193"/>
      <c r="X225" s="3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s="117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56"/>
      <c r="O226" s="193"/>
      <c r="P226" s="25"/>
      <c r="Q226" s="25"/>
      <c r="U226" s="193"/>
      <c r="V226" s="3"/>
      <c r="W226" s="193"/>
      <c r="X226" s="3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s="117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56"/>
      <c r="O227" s="193"/>
      <c r="P227" s="25"/>
      <c r="Q227" s="25"/>
      <c r="U227" s="193"/>
      <c r="V227" s="3"/>
      <c r="W227" s="193"/>
      <c r="X227" s="3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</row>
    <row r="228" spans="1:35" s="117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56"/>
      <c r="O228" s="193"/>
      <c r="P228" s="25"/>
      <c r="Q228" s="25"/>
      <c r="U228" s="193"/>
      <c r="V228" s="3"/>
      <c r="W228" s="193"/>
      <c r="X228" s="3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s="117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2"/>
      <c r="M229" s="156"/>
      <c r="O229" s="193"/>
      <c r="P229" s="25"/>
      <c r="Q229" s="25"/>
      <c r="U229" s="193"/>
      <c r="V229" s="3"/>
      <c r="W229" s="193"/>
      <c r="X229" s="3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s="117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56"/>
      <c r="O230" s="193"/>
      <c r="P230" s="25"/>
      <c r="Q230" s="25"/>
      <c r="U230" s="193"/>
      <c r="V230" s="3"/>
      <c r="W230" s="193"/>
      <c r="X230" s="3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s="117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56"/>
      <c r="O231" s="193"/>
      <c r="P231" s="25"/>
      <c r="Q231" s="25"/>
      <c r="U231" s="193"/>
      <c r="V231" s="3"/>
      <c r="W231" s="193"/>
      <c r="X231" s="3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s="117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56"/>
      <c r="O232" s="193"/>
      <c r="P232" s="25"/>
      <c r="Q232" s="25"/>
      <c r="U232" s="193"/>
      <c r="V232" s="3"/>
      <c r="W232" s="193"/>
      <c r="X232" s="3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s="117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56"/>
      <c r="O233" s="193"/>
      <c r="P233" s="25"/>
      <c r="Q233" s="25"/>
      <c r="U233" s="193"/>
      <c r="V233" s="3"/>
      <c r="W233" s="193"/>
      <c r="X233" s="3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s="117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56"/>
      <c r="O234" s="193"/>
      <c r="P234" s="25"/>
      <c r="Q234" s="25"/>
      <c r="U234" s="193"/>
      <c r="V234" s="3"/>
      <c r="W234" s="193"/>
      <c r="X234" s="3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2:13" ht="13.5">
      <c r="L235" s="2"/>
      <c r="M235" s="156"/>
    </row>
  </sheetData>
  <sheetProtection/>
  <mergeCells count="107">
    <mergeCell ref="A1:X1"/>
    <mergeCell ref="A2:X2"/>
    <mergeCell ref="A3:X3"/>
    <mergeCell ref="A6:A9"/>
    <mergeCell ref="B6:B9"/>
    <mergeCell ref="C6:C9"/>
    <mergeCell ref="D6:D9"/>
    <mergeCell ref="E6:E9"/>
    <mergeCell ref="F6:F9"/>
    <mergeCell ref="G6:I6"/>
    <mergeCell ref="J6:J9"/>
    <mergeCell ref="K6:K9"/>
    <mergeCell ref="L6:L9"/>
    <mergeCell ref="M6:M9"/>
    <mergeCell ref="N6:O6"/>
    <mergeCell ref="P6:Q6"/>
    <mergeCell ref="Q7:Q9"/>
    <mergeCell ref="R6:U6"/>
    <mergeCell ref="V6:V9"/>
    <mergeCell ref="W6:W9"/>
    <mergeCell ref="X6:X9"/>
    <mergeCell ref="G7:G9"/>
    <mergeCell ref="H7:H9"/>
    <mergeCell ref="I7:I9"/>
    <mergeCell ref="N7:N9"/>
    <mergeCell ref="O7:O9"/>
    <mergeCell ref="P7:P9"/>
    <mergeCell ref="R7:R9"/>
    <mergeCell ref="S7:S9"/>
    <mergeCell ref="T7:T9"/>
    <mergeCell ref="U7:U9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X103:X104"/>
    <mergeCell ref="M103:M104"/>
    <mergeCell ref="N103:N104"/>
    <mergeCell ref="O103:O104"/>
    <mergeCell ref="P103:P104"/>
    <mergeCell ref="Q103:Q104"/>
    <mergeCell ref="R103:R104"/>
    <mergeCell ref="R166:W166"/>
    <mergeCell ref="R168:W168"/>
    <mergeCell ref="R173:W173"/>
    <mergeCell ref="R174:W174"/>
    <mergeCell ref="S103:S104"/>
    <mergeCell ref="T103:T104"/>
    <mergeCell ref="U103:U104"/>
    <mergeCell ref="V103:V104"/>
    <mergeCell ref="W103:W104"/>
  </mergeCells>
  <printOptions/>
  <pageMargins left="0.7874015748031497" right="1.1811023622047245" top="0.7874015748031497" bottom="0" header="0.1968503937007874" footer="0.31496062992125984"/>
  <pageSetup horizontalDpi="300" verticalDpi="300" orientation="landscape" paperSize="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5"/>
  <sheetViews>
    <sheetView tabSelected="1" zoomScalePageLayoutView="0" workbookViewId="0" topLeftCell="A1">
      <pane xSplit="2" ySplit="10" topLeftCell="C1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71" sqref="H171"/>
    </sheetView>
  </sheetViews>
  <sheetFormatPr defaultColWidth="9.140625" defaultRowHeight="12.75"/>
  <cols>
    <col min="1" max="1" width="3.421875" style="3" customWidth="1"/>
    <col min="2" max="2" width="33.421875" style="3" customWidth="1"/>
    <col min="3" max="3" width="6.421875" style="3" customWidth="1"/>
    <col min="4" max="4" width="4.421875" style="3" customWidth="1"/>
    <col min="5" max="5" width="3.7109375" style="3" customWidth="1"/>
    <col min="6" max="6" width="4.8515625" style="3" customWidth="1"/>
    <col min="7" max="7" width="3.7109375" style="3" customWidth="1"/>
    <col min="8" max="8" width="3.8515625" style="3" customWidth="1"/>
    <col min="9" max="9" width="3.7109375" style="3" hidden="1" customWidth="1"/>
    <col min="10" max="10" width="13.57421875" style="3" customWidth="1"/>
    <col min="11" max="11" width="4.7109375" style="3" customWidth="1"/>
    <col min="12" max="12" width="3.28125" style="3" customWidth="1"/>
    <col min="13" max="13" width="7.57421875" style="157" customWidth="1"/>
    <col min="14" max="14" width="12.140625" style="117" customWidth="1"/>
    <col min="15" max="15" width="5.00390625" style="193" customWidth="1"/>
    <col min="16" max="16" width="5.421875" style="25" customWidth="1"/>
    <col min="17" max="17" width="5.28125" style="25" customWidth="1"/>
    <col min="18" max="18" width="11.421875" style="117" customWidth="1"/>
    <col min="19" max="19" width="12.140625" style="117" customWidth="1"/>
    <col min="20" max="20" width="12.7109375" style="117" customWidth="1"/>
    <col min="21" max="21" width="6.28125" style="193" customWidth="1"/>
    <col min="22" max="22" width="12.7109375" style="3" customWidth="1"/>
    <col min="23" max="23" width="8.28125" style="193" customWidth="1"/>
    <col min="24" max="24" width="4.28125" style="3" customWidth="1"/>
    <col min="25" max="25" width="14.28125" style="40" customWidth="1"/>
    <col min="26" max="26" width="10.28125" style="40" customWidth="1"/>
    <col min="27" max="27" width="12.421875" style="40" customWidth="1"/>
    <col min="28" max="30" width="9.140625" style="40" customWidth="1"/>
    <col min="31" max="31" width="10.421875" style="40" customWidth="1"/>
    <col min="32" max="35" width="9.140625" style="40" customWidth="1"/>
    <col min="36" max="16384" width="9.140625" style="3" customWidth="1"/>
  </cols>
  <sheetData>
    <row r="1" spans="1:35" s="24" customFormat="1" ht="15.75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151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4" s="24" customFormat="1" ht="15.75">
      <c r="A2" s="321" t="s">
        <v>144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5" s="24" customFormat="1" ht="15.75">
      <c r="A3" s="322" t="s">
        <v>319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151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s="24" customFormat="1" ht="15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85"/>
      <c r="P4" s="178"/>
      <c r="Q4" s="178"/>
      <c r="R4" s="278"/>
      <c r="S4" s="278"/>
      <c r="T4" s="278"/>
      <c r="U4" s="185"/>
      <c r="V4" s="178"/>
      <c r="W4" s="185"/>
      <c r="X4" s="178"/>
      <c r="Y4" s="151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24" customFormat="1" ht="16.5" thickBo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52"/>
      <c r="O5" s="186"/>
      <c r="P5" s="152"/>
      <c r="Q5" s="152"/>
      <c r="R5" s="278"/>
      <c r="S5" s="278"/>
      <c r="T5" s="278"/>
      <c r="U5" s="185"/>
      <c r="V5" s="178"/>
      <c r="W5" s="186"/>
      <c r="X5" s="178"/>
      <c r="Y5" s="151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25" customFormat="1" ht="13.5" customHeight="1">
      <c r="A6" s="323" t="s">
        <v>0</v>
      </c>
      <c r="B6" s="323" t="s">
        <v>27</v>
      </c>
      <c r="C6" s="323" t="s">
        <v>10</v>
      </c>
      <c r="D6" s="323" t="s">
        <v>29</v>
      </c>
      <c r="E6" s="323" t="s">
        <v>36</v>
      </c>
      <c r="F6" s="323" t="s">
        <v>21</v>
      </c>
      <c r="G6" s="326" t="s">
        <v>1</v>
      </c>
      <c r="H6" s="327"/>
      <c r="I6" s="328"/>
      <c r="J6" s="323" t="s">
        <v>158</v>
      </c>
      <c r="K6" s="323" t="s">
        <v>300</v>
      </c>
      <c r="L6" s="323" t="s">
        <v>14</v>
      </c>
      <c r="M6" s="323" t="s">
        <v>26</v>
      </c>
      <c r="N6" s="329" t="s">
        <v>2</v>
      </c>
      <c r="O6" s="330"/>
      <c r="P6" s="331" t="s">
        <v>38</v>
      </c>
      <c r="Q6" s="332"/>
      <c r="R6" s="331" t="s">
        <v>32</v>
      </c>
      <c r="S6" s="334"/>
      <c r="T6" s="334"/>
      <c r="U6" s="334"/>
      <c r="V6" s="323" t="s">
        <v>35</v>
      </c>
      <c r="W6" s="335" t="s">
        <v>33</v>
      </c>
      <c r="X6" s="323" t="s">
        <v>34</v>
      </c>
      <c r="Y6" s="153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s="25" customFormat="1" ht="13.5">
      <c r="A7" s="324"/>
      <c r="B7" s="324"/>
      <c r="C7" s="324"/>
      <c r="D7" s="324"/>
      <c r="E7" s="324"/>
      <c r="F7" s="324"/>
      <c r="G7" s="333" t="s">
        <v>11</v>
      </c>
      <c r="H7" s="333" t="s">
        <v>12</v>
      </c>
      <c r="I7" s="333" t="s">
        <v>13</v>
      </c>
      <c r="J7" s="324"/>
      <c r="K7" s="324"/>
      <c r="L7" s="324"/>
      <c r="M7" s="324"/>
      <c r="N7" s="338" t="s">
        <v>30</v>
      </c>
      <c r="O7" s="341" t="s">
        <v>31</v>
      </c>
      <c r="P7" s="333" t="s">
        <v>3</v>
      </c>
      <c r="Q7" s="333" t="s">
        <v>23</v>
      </c>
      <c r="R7" s="342" t="s">
        <v>24</v>
      </c>
      <c r="S7" s="342" t="s">
        <v>25</v>
      </c>
      <c r="T7" s="342" t="s">
        <v>15</v>
      </c>
      <c r="U7" s="345" t="s">
        <v>4</v>
      </c>
      <c r="V7" s="324"/>
      <c r="W7" s="336"/>
      <c r="X7" s="324"/>
      <c r="Y7" s="153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25" customFormat="1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39"/>
      <c r="O8" s="336"/>
      <c r="P8" s="324"/>
      <c r="Q8" s="324"/>
      <c r="R8" s="343"/>
      <c r="S8" s="343"/>
      <c r="T8" s="343"/>
      <c r="U8" s="346"/>
      <c r="V8" s="324"/>
      <c r="W8" s="336"/>
      <c r="X8" s="324"/>
      <c r="Y8" s="153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s="25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40"/>
      <c r="O9" s="337"/>
      <c r="P9" s="325"/>
      <c r="Q9" s="325"/>
      <c r="R9" s="344"/>
      <c r="S9" s="344"/>
      <c r="T9" s="344"/>
      <c r="U9" s="347"/>
      <c r="V9" s="325"/>
      <c r="W9" s="337"/>
      <c r="X9" s="325"/>
      <c r="Y9" s="153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s="227" customFormat="1" ht="13.5" customHeight="1">
      <c r="A10" s="167">
        <v>1</v>
      </c>
      <c r="B10" s="167">
        <v>2</v>
      </c>
      <c r="C10" s="167">
        <v>3</v>
      </c>
      <c r="D10" s="167">
        <v>4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/>
      <c r="K10" s="167">
        <v>11</v>
      </c>
      <c r="L10" s="167">
        <v>12</v>
      </c>
      <c r="M10" s="223">
        <v>13</v>
      </c>
      <c r="N10" s="224">
        <v>14</v>
      </c>
      <c r="O10" s="225">
        <v>15</v>
      </c>
      <c r="P10" s="167">
        <v>16</v>
      </c>
      <c r="Q10" s="167">
        <v>17</v>
      </c>
      <c r="R10" s="224">
        <v>18</v>
      </c>
      <c r="S10" s="224">
        <v>19</v>
      </c>
      <c r="T10" s="224">
        <v>20</v>
      </c>
      <c r="U10" s="225">
        <v>21</v>
      </c>
      <c r="V10" s="167">
        <v>22</v>
      </c>
      <c r="W10" s="225">
        <v>23</v>
      </c>
      <c r="X10" s="167">
        <v>24</v>
      </c>
      <c r="Y10" s="226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25" s="43" customFormat="1" ht="13.5" customHeight="1">
      <c r="A11" s="228" t="s">
        <v>18</v>
      </c>
      <c r="B11" s="229" t="s">
        <v>163</v>
      </c>
      <c r="C11" s="228"/>
      <c r="D11" s="228"/>
      <c r="E11" s="228"/>
      <c r="F11" s="228"/>
      <c r="G11" s="228"/>
      <c r="H11" s="228"/>
      <c r="I11" s="228"/>
      <c r="J11" s="230">
        <f>J12+J24</f>
        <v>8399886168</v>
      </c>
      <c r="K11" s="230"/>
      <c r="L11" s="230"/>
      <c r="M11" s="230"/>
      <c r="N11" s="230">
        <f>N12+N24</f>
        <v>4574374258</v>
      </c>
      <c r="O11" s="231">
        <f>N11/J11*100</f>
        <v>54.45757438269132</v>
      </c>
      <c r="P11" s="230"/>
      <c r="Q11" s="230"/>
      <c r="R11" s="230">
        <f>R12+R24</f>
        <v>625434133</v>
      </c>
      <c r="S11" s="230">
        <f>S12+S24</f>
        <v>2437447125</v>
      </c>
      <c r="T11" s="230">
        <f>T12+T24</f>
        <v>3061881258</v>
      </c>
      <c r="U11" s="231">
        <f>T11/J11*100</f>
        <v>36.45146132651735</v>
      </c>
      <c r="V11" s="230">
        <f>V12+V24</f>
        <v>5338004910</v>
      </c>
      <c r="W11" s="231">
        <f>V11/J11*100</f>
        <v>63.54853867348266</v>
      </c>
      <c r="X11" s="230"/>
      <c r="Y11" s="226"/>
    </row>
    <row r="12" spans="1:25" s="43" customFormat="1" ht="13.5" customHeight="1">
      <c r="A12" s="232"/>
      <c r="B12" s="233" t="s">
        <v>164</v>
      </c>
      <c r="C12" s="234"/>
      <c r="D12" s="234"/>
      <c r="E12" s="234"/>
      <c r="F12" s="234"/>
      <c r="G12" s="232"/>
      <c r="H12" s="232"/>
      <c r="I12" s="232"/>
      <c r="J12" s="235">
        <f>J13</f>
        <v>755480918</v>
      </c>
      <c r="K12" s="235"/>
      <c r="L12" s="235"/>
      <c r="M12" s="235"/>
      <c r="N12" s="235">
        <f>N13</f>
        <v>326150018</v>
      </c>
      <c r="O12" s="236">
        <f aca="true" t="shared" si="0" ref="O12:O23">N12/J12*100</f>
        <v>43.17117881195776</v>
      </c>
      <c r="P12" s="235"/>
      <c r="Q12" s="235"/>
      <c r="R12" s="235">
        <f>R13</f>
        <v>61994632</v>
      </c>
      <c r="S12" s="235">
        <f>S13</f>
        <v>247978528</v>
      </c>
      <c r="T12" s="235">
        <f>T13</f>
        <v>309973160</v>
      </c>
      <c r="U12" s="236">
        <f>T12/J12*100</f>
        <v>41.02991255167613</v>
      </c>
      <c r="V12" s="235">
        <f>V13</f>
        <v>445507758</v>
      </c>
      <c r="W12" s="236">
        <f aca="true" t="shared" si="1" ref="W12:W23">V12/J12*100</f>
        <v>58.97008744832387</v>
      </c>
      <c r="X12" s="235"/>
      <c r="Y12" s="226"/>
    </row>
    <row r="13" spans="1:25" s="43" customFormat="1" ht="13.5" customHeight="1">
      <c r="A13" s="237"/>
      <c r="B13" s="238" t="s">
        <v>83</v>
      </c>
      <c r="C13" s="237"/>
      <c r="D13" s="237"/>
      <c r="E13" s="237"/>
      <c r="F13" s="237"/>
      <c r="G13" s="237"/>
      <c r="H13" s="237"/>
      <c r="I13" s="237"/>
      <c r="J13" s="239">
        <f>J14+J22</f>
        <v>755480918</v>
      </c>
      <c r="K13" s="239"/>
      <c r="L13" s="239"/>
      <c r="M13" s="239"/>
      <c r="N13" s="239">
        <f>N14+N22</f>
        <v>326150018</v>
      </c>
      <c r="O13" s="240">
        <f t="shared" si="0"/>
        <v>43.17117881195776</v>
      </c>
      <c r="P13" s="239"/>
      <c r="Q13" s="239"/>
      <c r="R13" s="239">
        <f>R14+R22</f>
        <v>61994632</v>
      </c>
      <c r="S13" s="239">
        <f>S14+S22</f>
        <v>247978528</v>
      </c>
      <c r="T13" s="239">
        <f>T14+T22</f>
        <v>309973160</v>
      </c>
      <c r="U13" s="240">
        <f>T13/J13*100</f>
        <v>41.02991255167613</v>
      </c>
      <c r="V13" s="239">
        <f>V14+V22</f>
        <v>445507758</v>
      </c>
      <c r="W13" s="240">
        <f t="shared" si="1"/>
        <v>58.97008744832387</v>
      </c>
      <c r="X13" s="239"/>
      <c r="Y13" s="226"/>
    </row>
    <row r="14" spans="1:25" s="43" customFormat="1" ht="13.5" customHeight="1">
      <c r="A14" s="241"/>
      <c r="B14" s="242" t="s">
        <v>165</v>
      </c>
      <c r="C14" s="276" t="s">
        <v>301</v>
      </c>
      <c r="D14" s="241" t="s">
        <v>175</v>
      </c>
      <c r="E14" s="241">
        <v>12</v>
      </c>
      <c r="F14" s="241" t="s">
        <v>176</v>
      </c>
      <c r="G14" s="10" t="s">
        <v>28</v>
      </c>
      <c r="H14" s="102" t="s">
        <v>5</v>
      </c>
      <c r="I14" s="241"/>
      <c r="J14" s="243">
        <f>SUM(J15:J21)</f>
        <v>155480918</v>
      </c>
      <c r="K14" s="241"/>
      <c r="L14" s="241"/>
      <c r="M14" s="105"/>
      <c r="N14" s="244">
        <f>SUM(N15:N21)</f>
        <v>76150018</v>
      </c>
      <c r="O14" s="245">
        <f t="shared" si="0"/>
        <v>48.97708283404913</v>
      </c>
      <c r="P14" s="170" t="s">
        <v>139</v>
      </c>
      <c r="Q14" s="170" t="s">
        <v>320</v>
      </c>
      <c r="R14" s="244">
        <f>SUM(R15:R21)</f>
        <v>11994632</v>
      </c>
      <c r="S14" s="244">
        <f>SUM(S15:S21)</f>
        <v>47978528</v>
      </c>
      <c r="T14" s="244">
        <f>SUM(T15:T21)</f>
        <v>59973160</v>
      </c>
      <c r="U14" s="245">
        <f>T14/J14*100</f>
        <v>38.57268195445051</v>
      </c>
      <c r="V14" s="244">
        <f>SUM(V15:V21)</f>
        <v>95507758</v>
      </c>
      <c r="W14" s="245">
        <f t="shared" si="1"/>
        <v>61.427318045549484</v>
      </c>
      <c r="X14" s="244"/>
      <c r="Y14" s="226"/>
    </row>
    <row r="15" spans="1:25" s="44" customFormat="1" ht="13.5" customHeight="1">
      <c r="A15" s="246"/>
      <c r="B15" s="247" t="s">
        <v>166</v>
      </c>
      <c r="C15" s="277" t="s">
        <v>134</v>
      </c>
      <c r="D15" s="246" t="s">
        <v>175</v>
      </c>
      <c r="E15" s="246">
        <v>12</v>
      </c>
      <c r="F15" s="246" t="s">
        <v>176</v>
      </c>
      <c r="G15" s="9" t="s">
        <v>28</v>
      </c>
      <c r="H15" s="5" t="s">
        <v>5</v>
      </c>
      <c r="I15" s="246"/>
      <c r="J15" s="248">
        <v>50700000</v>
      </c>
      <c r="K15" s="246"/>
      <c r="L15" s="246"/>
      <c r="M15" s="7" t="s">
        <v>78</v>
      </c>
      <c r="N15" s="249">
        <f>3900000+3900000+3900000+7800000+3900000</f>
        <v>23400000</v>
      </c>
      <c r="O15" s="250">
        <f>N15/J15*100</f>
        <v>46.15384615384615</v>
      </c>
      <c r="P15" s="91" t="s">
        <v>139</v>
      </c>
      <c r="Q15" s="91" t="s">
        <v>321</v>
      </c>
      <c r="R15" s="249">
        <v>3900000</v>
      </c>
      <c r="S15" s="249">
        <v>15600000</v>
      </c>
      <c r="T15" s="249">
        <f aca="true" t="shared" si="2" ref="T15:T21">R15+S15</f>
        <v>19500000</v>
      </c>
      <c r="U15" s="250">
        <f>T15/J15*100</f>
        <v>38.46153846153847</v>
      </c>
      <c r="V15" s="251">
        <f>J15-T15</f>
        <v>31200000</v>
      </c>
      <c r="W15" s="250">
        <f t="shared" si="1"/>
        <v>61.53846153846154</v>
      </c>
      <c r="X15" s="246"/>
      <c r="Y15" s="252"/>
    </row>
    <row r="16" spans="1:25" s="44" customFormat="1" ht="13.5" customHeight="1">
      <c r="A16" s="246"/>
      <c r="B16" s="247" t="s">
        <v>167</v>
      </c>
      <c r="C16" s="277" t="s">
        <v>108</v>
      </c>
      <c r="D16" s="246" t="s">
        <v>175</v>
      </c>
      <c r="E16" s="246">
        <v>12</v>
      </c>
      <c r="F16" s="246" t="s">
        <v>176</v>
      </c>
      <c r="G16" s="9" t="s">
        <v>28</v>
      </c>
      <c r="H16" s="5" t="s">
        <v>5</v>
      </c>
      <c r="I16" s="246"/>
      <c r="J16" s="248">
        <v>6630000</v>
      </c>
      <c r="K16" s="246"/>
      <c r="L16" s="246"/>
      <c r="M16" s="7" t="s">
        <v>78</v>
      </c>
      <c r="N16" s="249">
        <f>510000+5100000+510000+1020000+510000</f>
        <v>7650000</v>
      </c>
      <c r="O16" s="250">
        <f t="shared" si="0"/>
        <v>115.38461538461537</v>
      </c>
      <c r="P16" s="91" t="s">
        <v>139</v>
      </c>
      <c r="Q16" s="91" t="s">
        <v>320</v>
      </c>
      <c r="R16" s="249">
        <v>510000</v>
      </c>
      <c r="S16" s="249">
        <v>2040000</v>
      </c>
      <c r="T16" s="249">
        <f t="shared" si="2"/>
        <v>2550000</v>
      </c>
      <c r="U16" s="250">
        <f aca="true" t="shared" si="3" ref="U16:U21">T16/J16*100</f>
        <v>38.46153846153847</v>
      </c>
      <c r="V16" s="251">
        <f aca="true" t="shared" si="4" ref="V16:V23">J16-T16</f>
        <v>4080000</v>
      </c>
      <c r="W16" s="250">
        <f t="shared" si="1"/>
        <v>61.53846153846154</v>
      </c>
      <c r="X16" s="246"/>
      <c r="Y16" s="252"/>
    </row>
    <row r="17" spans="1:25" s="44" customFormat="1" ht="13.5" customHeight="1">
      <c r="A17" s="246"/>
      <c r="B17" s="247" t="s">
        <v>168</v>
      </c>
      <c r="C17" s="277" t="s">
        <v>267</v>
      </c>
      <c r="D17" s="246" t="s">
        <v>175</v>
      </c>
      <c r="E17" s="246">
        <v>12</v>
      </c>
      <c r="F17" s="246" t="s">
        <v>176</v>
      </c>
      <c r="G17" s="9" t="s">
        <v>28</v>
      </c>
      <c r="H17" s="5" t="s">
        <v>5</v>
      </c>
      <c r="I17" s="246"/>
      <c r="J17" s="248">
        <v>91260000</v>
      </c>
      <c r="K17" s="246"/>
      <c r="L17" s="246"/>
      <c r="M17" s="7" t="s">
        <v>78</v>
      </c>
      <c r="N17" s="249">
        <f>7020000+7020000+7020000+14040000+7020000</f>
        <v>42120000</v>
      </c>
      <c r="O17" s="250">
        <f t="shared" si="0"/>
        <v>46.15384615384615</v>
      </c>
      <c r="P17" s="91" t="s">
        <v>139</v>
      </c>
      <c r="Q17" s="91" t="s">
        <v>320</v>
      </c>
      <c r="R17" s="249">
        <v>7020000</v>
      </c>
      <c r="S17" s="249">
        <v>28080000</v>
      </c>
      <c r="T17" s="249">
        <f t="shared" si="2"/>
        <v>35100000</v>
      </c>
      <c r="U17" s="250">
        <f t="shared" si="3"/>
        <v>38.46153846153847</v>
      </c>
      <c r="V17" s="251">
        <f t="shared" si="4"/>
        <v>56160000</v>
      </c>
      <c r="W17" s="250">
        <f t="shared" si="1"/>
        <v>61.53846153846154</v>
      </c>
      <c r="X17" s="246"/>
      <c r="Y17" s="252"/>
    </row>
    <row r="18" spans="1:25" s="44" customFormat="1" ht="13.5" customHeight="1">
      <c r="A18" s="246"/>
      <c r="B18" s="247" t="s">
        <v>169</v>
      </c>
      <c r="C18" s="277" t="s">
        <v>267</v>
      </c>
      <c r="D18" s="246" t="s">
        <v>175</v>
      </c>
      <c r="E18" s="246">
        <v>12</v>
      </c>
      <c r="F18" s="246" t="s">
        <v>176</v>
      </c>
      <c r="G18" s="9" t="s">
        <v>28</v>
      </c>
      <c r="H18" s="5" t="s">
        <v>5</v>
      </c>
      <c r="I18" s="246"/>
      <c r="J18" s="248">
        <v>6083280</v>
      </c>
      <c r="K18" s="246"/>
      <c r="L18" s="246"/>
      <c r="M18" s="7" t="s">
        <v>78</v>
      </c>
      <c r="N18" s="249">
        <f>438865+438856+438865+877730+480876</f>
        <v>2675192</v>
      </c>
      <c r="O18" s="250">
        <f t="shared" si="0"/>
        <v>43.97614444838969</v>
      </c>
      <c r="P18" s="91" t="s">
        <v>139</v>
      </c>
      <c r="Q18" s="91" t="s">
        <v>320</v>
      </c>
      <c r="R18" s="249">
        <v>506940</v>
      </c>
      <c r="S18" s="249">
        <v>2027760</v>
      </c>
      <c r="T18" s="249">
        <f t="shared" si="2"/>
        <v>2534700</v>
      </c>
      <c r="U18" s="250">
        <f t="shared" si="3"/>
        <v>41.66666666666667</v>
      </c>
      <c r="V18" s="251">
        <f t="shared" si="4"/>
        <v>3548580</v>
      </c>
      <c r="W18" s="250">
        <f t="shared" si="1"/>
        <v>58.333333333333336</v>
      </c>
      <c r="X18" s="246"/>
      <c r="Y18" s="252"/>
    </row>
    <row r="19" spans="1:25" s="44" customFormat="1" ht="13.5" customHeight="1">
      <c r="A19" s="246"/>
      <c r="B19" s="247" t="s">
        <v>170</v>
      </c>
      <c r="C19" s="277" t="s">
        <v>302</v>
      </c>
      <c r="D19" s="246" t="s">
        <v>175</v>
      </c>
      <c r="E19" s="246">
        <v>12</v>
      </c>
      <c r="F19" s="246" t="s">
        <v>176</v>
      </c>
      <c r="G19" s="9" t="s">
        <v>28</v>
      </c>
      <c r="H19" s="5" t="s">
        <v>5</v>
      </c>
      <c r="I19" s="246"/>
      <c r="J19" s="248">
        <v>355688</v>
      </c>
      <c r="K19" s="246"/>
      <c r="L19" s="246"/>
      <c r="M19" s="7" t="s">
        <v>78</v>
      </c>
      <c r="N19" s="249">
        <f>50284+50284+50284+100568+17176</f>
        <v>268596</v>
      </c>
      <c r="O19" s="250">
        <f t="shared" si="0"/>
        <v>75.51449585029576</v>
      </c>
      <c r="P19" s="91" t="s">
        <v>139</v>
      </c>
      <c r="Q19" s="91" t="s">
        <v>320</v>
      </c>
      <c r="R19" s="249">
        <v>20092</v>
      </c>
      <c r="S19" s="249">
        <v>80368</v>
      </c>
      <c r="T19" s="249">
        <f t="shared" si="2"/>
        <v>100460</v>
      </c>
      <c r="U19" s="250">
        <f t="shared" si="3"/>
        <v>28.24385416432379</v>
      </c>
      <c r="V19" s="251">
        <f t="shared" si="4"/>
        <v>255228</v>
      </c>
      <c r="W19" s="250">
        <f t="shared" si="1"/>
        <v>71.75614583567621</v>
      </c>
      <c r="X19" s="246"/>
      <c r="Y19" s="252"/>
    </row>
    <row r="20" spans="1:25" s="44" customFormat="1" ht="13.5" customHeight="1">
      <c r="A20" s="246"/>
      <c r="B20" s="247" t="s">
        <v>171</v>
      </c>
      <c r="C20" s="277" t="s">
        <v>268</v>
      </c>
      <c r="D20" s="246" t="s">
        <v>175</v>
      </c>
      <c r="E20" s="246">
        <v>12</v>
      </c>
      <c r="F20" s="246" t="s">
        <v>176</v>
      </c>
      <c r="G20" s="9" t="s">
        <v>28</v>
      </c>
      <c r="H20" s="5" t="s">
        <v>5</v>
      </c>
      <c r="I20" s="246"/>
      <c r="J20" s="248">
        <v>2670</v>
      </c>
      <c r="K20" s="246"/>
      <c r="L20" s="246"/>
      <c r="M20" s="7" t="s">
        <v>78</v>
      </c>
      <c r="N20" s="249">
        <f>60+60+60+120+270</f>
        <v>570</v>
      </c>
      <c r="O20" s="250">
        <f t="shared" si="0"/>
        <v>21.34831460674157</v>
      </c>
      <c r="P20" s="91" t="s">
        <v>139</v>
      </c>
      <c r="Q20" s="91" t="s">
        <v>320</v>
      </c>
      <c r="R20" s="249">
        <v>160</v>
      </c>
      <c r="S20" s="249">
        <v>640</v>
      </c>
      <c r="T20" s="249">
        <f t="shared" si="2"/>
        <v>800</v>
      </c>
      <c r="U20" s="250">
        <f t="shared" si="3"/>
        <v>29.962546816479403</v>
      </c>
      <c r="V20" s="251">
        <f t="shared" si="4"/>
        <v>1870</v>
      </c>
      <c r="W20" s="250">
        <f t="shared" si="1"/>
        <v>70.0374531835206</v>
      </c>
      <c r="X20" s="246"/>
      <c r="Y20" s="252"/>
    </row>
    <row r="21" spans="1:25" s="44" customFormat="1" ht="22.5" customHeight="1">
      <c r="A21" s="246"/>
      <c r="B21" s="247" t="s">
        <v>172</v>
      </c>
      <c r="C21" s="277" t="s">
        <v>303</v>
      </c>
      <c r="D21" s="246" t="s">
        <v>175</v>
      </c>
      <c r="E21" s="246">
        <v>12</v>
      </c>
      <c r="F21" s="246" t="s">
        <v>176</v>
      </c>
      <c r="G21" s="9" t="s">
        <v>28</v>
      </c>
      <c r="H21" s="5" t="s">
        <v>5</v>
      </c>
      <c r="I21" s="246"/>
      <c r="J21" s="248">
        <v>449280</v>
      </c>
      <c r="K21" s="246"/>
      <c r="L21" s="246"/>
      <c r="M21" s="7" t="s">
        <v>78</v>
      </c>
      <c r="N21" s="249">
        <v>35660</v>
      </c>
      <c r="O21" s="250">
        <f t="shared" si="0"/>
        <v>7.9371438746438745</v>
      </c>
      <c r="P21" s="91" t="s">
        <v>139</v>
      </c>
      <c r="Q21" s="91" t="s">
        <v>320</v>
      </c>
      <c r="R21" s="249">
        <v>37440</v>
      </c>
      <c r="S21" s="249">
        <v>149760</v>
      </c>
      <c r="T21" s="249">
        <f t="shared" si="2"/>
        <v>187200</v>
      </c>
      <c r="U21" s="250">
        <f t="shared" si="3"/>
        <v>41.66666666666667</v>
      </c>
      <c r="V21" s="251">
        <f t="shared" si="4"/>
        <v>262080</v>
      </c>
      <c r="W21" s="250">
        <f t="shared" si="1"/>
        <v>58.333333333333336</v>
      </c>
      <c r="X21" s="246"/>
      <c r="Y21" s="252"/>
    </row>
    <row r="22" spans="1:25" s="259" customFormat="1" ht="26.25" customHeight="1">
      <c r="A22" s="219"/>
      <c r="B22" s="253" t="s">
        <v>173</v>
      </c>
      <c r="C22" s="218" t="s">
        <v>227</v>
      </c>
      <c r="D22" s="219" t="s">
        <v>175</v>
      </c>
      <c r="E22" s="219">
        <v>12</v>
      </c>
      <c r="F22" s="219" t="s">
        <v>176</v>
      </c>
      <c r="G22" s="206" t="s">
        <v>28</v>
      </c>
      <c r="H22" s="207" t="s">
        <v>5</v>
      </c>
      <c r="I22" s="219"/>
      <c r="J22" s="254">
        <v>600000000</v>
      </c>
      <c r="K22" s="219"/>
      <c r="L22" s="219"/>
      <c r="M22" s="255"/>
      <c r="N22" s="256">
        <f>SUM(N23)</f>
        <v>250000000</v>
      </c>
      <c r="O22" s="257">
        <f>N22/J22*100</f>
        <v>41.66666666666667</v>
      </c>
      <c r="P22" s="275" t="s">
        <v>139</v>
      </c>
      <c r="Q22" s="275" t="s">
        <v>320</v>
      </c>
      <c r="R22" s="256">
        <f>SUM(R23)</f>
        <v>50000000</v>
      </c>
      <c r="S22" s="256">
        <f>SUM(S23)</f>
        <v>200000000</v>
      </c>
      <c r="T22" s="256">
        <f>SUM(T23)</f>
        <v>250000000</v>
      </c>
      <c r="U22" s="257">
        <f>T22/J22*100</f>
        <v>41.66666666666667</v>
      </c>
      <c r="V22" s="256">
        <f>SUM(V23)</f>
        <v>350000000</v>
      </c>
      <c r="W22" s="257">
        <f t="shared" si="1"/>
        <v>58.333333333333336</v>
      </c>
      <c r="X22" s="256"/>
      <c r="Y22" s="258"/>
    </row>
    <row r="23" spans="1:25" s="298" customFormat="1" ht="24" customHeight="1">
      <c r="A23" s="284"/>
      <c r="B23" s="285" t="s">
        <v>174</v>
      </c>
      <c r="C23" s="286" t="s">
        <v>207</v>
      </c>
      <c r="D23" s="287" t="s">
        <v>175</v>
      </c>
      <c r="E23" s="284">
        <v>12</v>
      </c>
      <c r="F23" s="287" t="s">
        <v>176</v>
      </c>
      <c r="G23" s="288" t="s">
        <v>28</v>
      </c>
      <c r="H23" s="289" t="s">
        <v>5</v>
      </c>
      <c r="I23" s="284"/>
      <c r="J23" s="290">
        <v>600000000</v>
      </c>
      <c r="K23" s="284"/>
      <c r="L23" s="284"/>
      <c r="M23" s="291" t="s">
        <v>78</v>
      </c>
      <c r="N23" s="292">
        <f>50000000+50000000+50000000+50000000+50000000</f>
        <v>250000000</v>
      </c>
      <c r="O23" s="293">
        <f t="shared" si="0"/>
        <v>41.66666666666667</v>
      </c>
      <c r="P23" s="294" t="s">
        <v>139</v>
      </c>
      <c r="Q23" s="294" t="s">
        <v>320</v>
      </c>
      <c r="R23" s="292">
        <v>50000000</v>
      </c>
      <c r="S23" s="292">
        <v>200000000</v>
      </c>
      <c r="T23" s="295">
        <f>R23+S23</f>
        <v>250000000</v>
      </c>
      <c r="U23" s="293">
        <f>T23/J23*100</f>
        <v>41.66666666666667</v>
      </c>
      <c r="V23" s="296">
        <f t="shared" si="4"/>
        <v>350000000</v>
      </c>
      <c r="W23" s="293">
        <f t="shared" si="1"/>
        <v>58.333333333333336</v>
      </c>
      <c r="X23" s="284"/>
      <c r="Y23" s="297"/>
    </row>
    <row r="24" spans="1:35" s="26" customFormat="1" ht="16.5" customHeight="1">
      <c r="A24" s="260"/>
      <c r="B24" s="261" t="s">
        <v>6</v>
      </c>
      <c r="C24" s="260"/>
      <c r="D24" s="260"/>
      <c r="E24" s="260"/>
      <c r="F24" s="260"/>
      <c r="G24" s="260"/>
      <c r="H24" s="260"/>
      <c r="I24" s="260"/>
      <c r="J24" s="262">
        <f>J25+J73+J103</f>
        <v>7644405250</v>
      </c>
      <c r="K24" s="262"/>
      <c r="L24" s="262"/>
      <c r="M24" s="262"/>
      <c r="N24" s="262">
        <f>N25+N73+N103</f>
        <v>4248224240</v>
      </c>
      <c r="O24" s="302">
        <f>N24/J24*100</f>
        <v>55.57298574666747</v>
      </c>
      <c r="P24" s="262"/>
      <c r="Q24" s="262"/>
      <c r="R24" s="262">
        <f>R25+R73+R103</f>
        <v>563439501</v>
      </c>
      <c r="S24" s="262">
        <f>S25+S73+S103</f>
        <v>2189468597</v>
      </c>
      <c r="T24" s="262">
        <f>T25+T73+T103</f>
        <v>2751908098</v>
      </c>
      <c r="U24" s="262">
        <f>T24/J24*100</f>
        <v>35.99898236687544</v>
      </c>
      <c r="V24" s="262">
        <f>V25+V73+V103</f>
        <v>4892497152</v>
      </c>
      <c r="W24" s="262">
        <f>V24/J24*100</f>
        <v>64.00101763312456</v>
      </c>
      <c r="X24" s="262"/>
      <c r="Y24" s="263"/>
      <c r="Z24" s="45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s="26" customFormat="1" ht="12" customHeight="1">
      <c r="A25" s="348" t="s">
        <v>18</v>
      </c>
      <c r="B25" s="349" t="s">
        <v>16</v>
      </c>
      <c r="C25" s="350"/>
      <c r="D25" s="350"/>
      <c r="E25" s="350"/>
      <c r="F25" s="350"/>
      <c r="G25" s="350"/>
      <c r="H25" s="350"/>
      <c r="I25" s="350"/>
      <c r="J25" s="351">
        <f>J27</f>
        <v>3528732850</v>
      </c>
      <c r="K25" s="351"/>
      <c r="L25" s="351"/>
      <c r="M25" s="351"/>
      <c r="N25" s="351">
        <f>N27</f>
        <v>1803418840</v>
      </c>
      <c r="O25" s="351">
        <f>N25/J25*100</f>
        <v>51.106697975166924</v>
      </c>
      <c r="P25" s="351"/>
      <c r="Q25" s="351"/>
      <c r="R25" s="351">
        <f>R27</f>
        <v>312165091</v>
      </c>
      <c r="S25" s="351">
        <f>S27</f>
        <v>851556706</v>
      </c>
      <c r="T25" s="351">
        <f>T27</f>
        <v>1163721797</v>
      </c>
      <c r="U25" s="351">
        <v>0</v>
      </c>
      <c r="V25" s="351">
        <f>V27</f>
        <v>2365011053</v>
      </c>
      <c r="W25" s="351">
        <f>V25/J25*100</f>
        <v>67.02153870900145</v>
      </c>
      <c r="X25" s="351"/>
      <c r="Y25" s="52"/>
      <c r="Z25" s="45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s="26" customFormat="1" ht="13.5" customHeight="1">
      <c r="A26" s="348"/>
      <c r="B26" s="349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41"/>
      <c r="Z26" s="45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s="140" customFormat="1" ht="27.75" customHeight="1">
      <c r="A27" s="130"/>
      <c r="B27" s="131" t="s">
        <v>82</v>
      </c>
      <c r="C27" s="130" t="s">
        <v>107</v>
      </c>
      <c r="D27" s="132" t="s">
        <v>37</v>
      </c>
      <c r="E27" s="132" t="s">
        <v>140</v>
      </c>
      <c r="F27" s="132" t="s">
        <v>181</v>
      </c>
      <c r="G27" s="130" t="s">
        <v>28</v>
      </c>
      <c r="H27" s="132" t="s">
        <v>5</v>
      </c>
      <c r="I27" s="130" t="s">
        <v>28</v>
      </c>
      <c r="J27" s="133">
        <f>J28+J39</f>
        <v>3528732850</v>
      </c>
      <c r="K27" s="133"/>
      <c r="L27" s="133"/>
      <c r="M27" s="133"/>
      <c r="N27" s="133">
        <f>N28+N39</f>
        <v>1803418840</v>
      </c>
      <c r="O27" s="133">
        <f>N27/J27*100</f>
        <v>51.106697975166924</v>
      </c>
      <c r="P27" s="133"/>
      <c r="Q27" s="133"/>
      <c r="R27" s="133">
        <f>R28+R39</f>
        <v>312165091</v>
      </c>
      <c r="S27" s="133">
        <f>S28+S39</f>
        <v>851556706</v>
      </c>
      <c r="T27" s="133">
        <f>T28+T39</f>
        <v>1163721797</v>
      </c>
      <c r="U27" s="133">
        <f>T27/J27*100</f>
        <v>32.97846129099855</v>
      </c>
      <c r="V27" s="133">
        <f>V28+V39</f>
        <v>2365011053</v>
      </c>
      <c r="W27" s="133">
        <f>V27/J27*100</f>
        <v>67.02153870900145</v>
      </c>
      <c r="X27" s="133"/>
      <c r="Y27" s="106"/>
      <c r="Z27" s="45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s="126" customFormat="1" ht="13.5">
      <c r="A28" s="118">
        <v>1</v>
      </c>
      <c r="B28" s="119" t="s">
        <v>83</v>
      </c>
      <c r="C28" s="118"/>
      <c r="D28" s="120"/>
      <c r="E28" s="120"/>
      <c r="F28" s="120"/>
      <c r="G28" s="118"/>
      <c r="H28" s="120"/>
      <c r="I28" s="118" t="s">
        <v>28</v>
      </c>
      <c r="J28" s="121">
        <f>J29+J37</f>
        <v>134867000</v>
      </c>
      <c r="K28" s="121"/>
      <c r="L28" s="121"/>
      <c r="M28" s="121"/>
      <c r="N28" s="121">
        <f>N29+N37</f>
        <v>55202750</v>
      </c>
      <c r="O28" s="121">
        <f>N28/J28*100</f>
        <v>40.93125078781318</v>
      </c>
      <c r="P28" s="121"/>
      <c r="Q28" s="121"/>
      <c r="R28" s="121">
        <f>R29+R37</f>
        <v>6719500</v>
      </c>
      <c r="S28" s="121">
        <f>S29+S37</f>
        <v>19738500</v>
      </c>
      <c r="T28" s="121">
        <f>T29+T37</f>
        <v>26458000</v>
      </c>
      <c r="U28" s="121">
        <f>T28/J28*100</f>
        <v>19.617845729496466</v>
      </c>
      <c r="V28" s="121">
        <f>V29+V37</f>
        <v>108409000</v>
      </c>
      <c r="W28" s="121">
        <f>V28/J28*100</f>
        <v>80.38215427050353</v>
      </c>
      <c r="X28" s="121"/>
      <c r="Y28" s="106"/>
      <c r="Z28" s="45"/>
      <c r="AA28" s="173"/>
      <c r="AB28" s="43"/>
      <c r="AC28" s="43"/>
      <c r="AD28" s="43"/>
      <c r="AE28" s="43"/>
      <c r="AF28" s="43"/>
      <c r="AG28" s="43"/>
      <c r="AH28" s="43"/>
      <c r="AI28" s="43"/>
    </row>
    <row r="29" spans="1:35" s="26" customFormat="1" ht="13.5">
      <c r="A29" s="10"/>
      <c r="B29" s="94" t="s">
        <v>84</v>
      </c>
      <c r="C29" s="10" t="s">
        <v>111</v>
      </c>
      <c r="D29" s="102" t="s">
        <v>37</v>
      </c>
      <c r="E29" s="102" t="s">
        <v>140</v>
      </c>
      <c r="F29" s="102" t="s">
        <v>181</v>
      </c>
      <c r="G29" s="10" t="s">
        <v>28</v>
      </c>
      <c r="H29" s="102" t="s">
        <v>5</v>
      </c>
      <c r="I29" s="102"/>
      <c r="J29" s="98">
        <f>SUM(J30:J36)</f>
        <v>39540000</v>
      </c>
      <c r="K29" s="105"/>
      <c r="L29" s="105"/>
      <c r="M29" s="105"/>
      <c r="N29" s="111">
        <f>SUM(N30:N36)</f>
        <v>16702750</v>
      </c>
      <c r="O29" s="195">
        <f>N29/J29*100</f>
        <v>42.24266565503288</v>
      </c>
      <c r="P29" s="170" t="s">
        <v>139</v>
      </c>
      <c r="Q29" s="170" t="s">
        <v>321</v>
      </c>
      <c r="R29" s="89">
        <f>SUM(R30:R36)</f>
        <v>6719500</v>
      </c>
      <c r="S29" s="89">
        <f>SUM(S30:S36)</f>
        <v>7069500</v>
      </c>
      <c r="T29" s="89">
        <f>SUM(T30:T36)</f>
        <v>13789000</v>
      </c>
      <c r="U29" s="204">
        <f>T29/J29*100</f>
        <v>34.873545776428934</v>
      </c>
      <c r="V29" s="86">
        <f>SUM(V30:V36)</f>
        <v>25751000</v>
      </c>
      <c r="W29" s="188">
        <f>V29/J29*100</f>
        <v>65.12645422357106</v>
      </c>
      <c r="X29" s="105"/>
      <c r="Y29" s="106"/>
      <c r="Z29" s="45"/>
      <c r="AA29" s="43"/>
      <c r="AB29" s="43"/>
      <c r="AC29" s="43"/>
      <c r="AD29" s="43"/>
      <c r="AE29" s="43"/>
      <c r="AF29" s="43"/>
      <c r="AG29" s="43"/>
      <c r="AH29" s="43"/>
      <c r="AI29" s="43"/>
    </row>
    <row r="30" spans="1:35" s="25" customFormat="1" ht="13.5">
      <c r="A30" s="9"/>
      <c r="B30" s="74" t="s">
        <v>85</v>
      </c>
      <c r="C30" s="9" t="s">
        <v>108</v>
      </c>
      <c r="D30" s="5" t="s">
        <v>37</v>
      </c>
      <c r="E30" s="5" t="s">
        <v>140</v>
      </c>
      <c r="F30" s="5" t="s">
        <v>181</v>
      </c>
      <c r="G30" s="9" t="s">
        <v>28</v>
      </c>
      <c r="H30" s="5" t="s">
        <v>5</v>
      </c>
      <c r="I30" s="9" t="s">
        <v>28</v>
      </c>
      <c r="J30" s="11">
        <v>9060000</v>
      </c>
      <c r="K30" s="36"/>
      <c r="L30" s="37"/>
      <c r="M30" s="7" t="s">
        <v>78</v>
      </c>
      <c r="N30" s="112">
        <f>847000+847000+847000+847000+755000</f>
        <v>4143000</v>
      </c>
      <c r="O30" s="196">
        <f>N30/J30*100</f>
        <v>45.728476821192054</v>
      </c>
      <c r="P30" s="91" t="s">
        <v>139</v>
      </c>
      <c r="Q30" s="91" t="s">
        <v>320</v>
      </c>
      <c r="R30" s="88">
        <v>1344000</v>
      </c>
      <c r="S30" s="88">
        <v>1694000</v>
      </c>
      <c r="T30" s="88">
        <f aca="true" t="shared" si="5" ref="T30:T36">R30+S30</f>
        <v>3038000</v>
      </c>
      <c r="U30" s="205">
        <f>T30/J30*100</f>
        <v>33.53200883002208</v>
      </c>
      <c r="V30" s="8">
        <f>J30-T30</f>
        <v>6022000</v>
      </c>
      <c r="W30" s="189">
        <f aca="true" t="shared" si="6" ref="W30:W38">V30/J30*100</f>
        <v>66.46799116997792</v>
      </c>
      <c r="X30" s="7"/>
      <c r="Y30" s="38"/>
      <c r="Z30" s="46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s="25" customFormat="1" ht="17.25" customHeight="1">
      <c r="A31" s="9"/>
      <c r="B31" s="97" t="s">
        <v>142</v>
      </c>
      <c r="C31" s="9" t="s">
        <v>113</v>
      </c>
      <c r="D31" s="5" t="s">
        <v>37</v>
      </c>
      <c r="E31" s="5" t="s">
        <v>140</v>
      </c>
      <c r="F31" s="5" t="s">
        <v>181</v>
      </c>
      <c r="G31" s="9" t="s">
        <v>28</v>
      </c>
      <c r="H31" s="5" t="s">
        <v>5</v>
      </c>
      <c r="I31" s="5"/>
      <c r="J31" s="11">
        <v>2580000</v>
      </c>
      <c r="K31" s="7"/>
      <c r="L31" s="7"/>
      <c r="M31" s="7" t="s">
        <v>78</v>
      </c>
      <c r="N31" s="53">
        <f>234000+234000+234000+234000+215000</f>
        <v>1151000</v>
      </c>
      <c r="O31" s="196">
        <f aca="true" t="shared" si="7" ref="O31:O51">N31/J31*100</f>
        <v>44.6124031007752</v>
      </c>
      <c r="P31" s="91" t="s">
        <v>139</v>
      </c>
      <c r="Q31" s="91" t="s">
        <v>320</v>
      </c>
      <c r="R31" s="88">
        <v>468000</v>
      </c>
      <c r="S31" s="88">
        <v>468000</v>
      </c>
      <c r="T31" s="88">
        <f t="shared" si="5"/>
        <v>936000</v>
      </c>
      <c r="U31" s="205">
        <f aca="true" t="shared" si="8" ref="U31:U72">T31/J31*100</f>
        <v>36.27906976744186</v>
      </c>
      <c r="V31" s="8">
        <f aca="true" t="shared" si="9" ref="V31:V36">J31-T31</f>
        <v>1644000</v>
      </c>
      <c r="W31" s="189">
        <f t="shared" si="6"/>
        <v>63.72093023255814</v>
      </c>
      <c r="X31" s="7"/>
      <c r="Y31" s="38"/>
      <c r="Z31" s="46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s="25" customFormat="1" ht="13.5">
      <c r="A32" s="9"/>
      <c r="B32" s="74" t="s">
        <v>86</v>
      </c>
      <c r="C32" s="9" t="s">
        <v>109</v>
      </c>
      <c r="D32" s="5" t="s">
        <v>37</v>
      </c>
      <c r="E32" s="5" t="s">
        <v>140</v>
      </c>
      <c r="F32" s="5" t="s">
        <v>181</v>
      </c>
      <c r="G32" s="9" t="s">
        <v>28</v>
      </c>
      <c r="H32" s="5" t="s">
        <v>5</v>
      </c>
      <c r="I32" s="9" t="s">
        <v>28</v>
      </c>
      <c r="J32" s="11">
        <v>1200000</v>
      </c>
      <c r="K32" s="36"/>
      <c r="L32" s="37"/>
      <c r="M32" s="7" t="s">
        <v>78</v>
      </c>
      <c r="N32" s="112">
        <f>100000+100000+100000+100000+100000</f>
        <v>500000</v>
      </c>
      <c r="O32" s="196">
        <f t="shared" si="7"/>
        <v>41.66666666666667</v>
      </c>
      <c r="P32" s="91" t="s">
        <v>139</v>
      </c>
      <c r="Q32" s="91" t="s">
        <v>320</v>
      </c>
      <c r="R32" s="88">
        <v>200000</v>
      </c>
      <c r="S32" s="88">
        <v>200000</v>
      </c>
      <c r="T32" s="88">
        <f t="shared" si="5"/>
        <v>400000</v>
      </c>
      <c r="U32" s="205">
        <f t="shared" si="8"/>
        <v>33.33333333333333</v>
      </c>
      <c r="V32" s="8">
        <f t="shared" si="9"/>
        <v>800000</v>
      </c>
      <c r="W32" s="189">
        <f t="shared" si="6"/>
        <v>66.66666666666666</v>
      </c>
      <c r="X32" s="7"/>
      <c r="Y32" s="38"/>
      <c r="Z32" s="46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s="25" customFormat="1" ht="13.5">
      <c r="A33" s="9"/>
      <c r="B33" s="6" t="s">
        <v>145</v>
      </c>
      <c r="C33" s="9" t="s">
        <v>146</v>
      </c>
      <c r="D33" s="5" t="s">
        <v>37</v>
      </c>
      <c r="E33" s="5" t="s">
        <v>140</v>
      </c>
      <c r="F33" s="5" t="s">
        <v>181</v>
      </c>
      <c r="G33" s="9" t="s">
        <v>28</v>
      </c>
      <c r="H33" s="5" t="s">
        <v>5</v>
      </c>
      <c r="I33" s="9"/>
      <c r="J33" s="11">
        <v>8220000</v>
      </c>
      <c r="K33" s="36"/>
      <c r="L33" s="37"/>
      <c r="M33" s="7" t="s">
        <v>78</v>
      </c>
      <c r="N33" s="112">
        <f>731000+731000+731000+731000+685000</f>
        <v>3609000</v>
      </c>
      <c r="O33" s="196">
        <f t="shared" si="7"/>
        <v>43.9051094890511</v>
      </c>
      <c r="P33" s="91" t="s">
        <v>139</v>
      </c>
      <c r="Q33" s="91" t="s">
        <v>320</v>
      </c>
      <c r="R33" s="88">
        <v>1462000</v>
      </c>
      <c r="S33" s="88">
        <v>1462000</v>
      </c>
      <c r="T33" s="88">
        <f t="shared" si="5"/>
        <v>2924000</v>
      </c>
      <c r="U33" s="205">
        <f t="shared" si="8"/>
        <v>35.57177615571776</v>
      </c>
      <c r="V33" s="8">
        <f t="shared" si="9"/>
        <v>5296000</v>
      </c>
      <c r="W33" s="189">
        <f t="shared" si="6"/>
        <v>64.42822384428224</v>
      </c>
      <c r="X33" s="7"/>
      <c r="Y33" s="38"/>
      <c r="Z33" s="46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s="25" customFormat="1" ht="13.5">
      <c r="A34" s="9"/>
      <c r="B34" s="6" t="s">
        <v>148</v>
      </c>
      <c r="C34" s="9" t="s">
        <v>147</v>
      </c>
      <c r="D34" s="5" t="s">
        <v>37</v>
      </c>
      <c r="E34" s="5" t="s">
        <v>140</v>
      </c>
      <c r="F34" s="5" t="s">
        <v>181</v>
      </c>
      <c r="G34" s="9" t="s">
        <v>28</v>
      </c>
      <c r="H34" s="5" t="s">
        <v>5</v>
      </c>
      <c r="I34" s="9"/>
      <c r="J34" s="11">
        <v>8400000</v>
      </c>
      <c r="K34" s="36"/>
      <c r="L34" s="37"/>
      <c r="M34" s="7" t="s">
        <v>78</v>
      </c>
      <c r="N34" s="177">
        <f>731250+731250+731250+529000+700000</f>
        <v>3422750</v>
      </c>
      <c r="O34" s="196">
        <f t="shared" si="7"/>
        <v>40.74702380952381</v>
      </c>
      <c r="P34" s="91" t="s">
        <v>139</v>
      </c>
      <c r="Q34" s="91" t="s">
        <v>320</v>
      </c>
      <c r="R34" s="88">
        <v>1462500</v>
      </c>
      <c r="S34" s="88">
        <v>1462500</v>
      </c>
      <c r="T34" s="88">
        <f t="shared" si="5"/>
        <v>2925000</v>
      </c>
      <c r="U34" s="205">
        <f t="shared" si="8"/>
        <v>34.82142857142857</v>
      </c>
      <c r="V34" s="8">
        <f t="shared" si="9"/>
        <v>5475000</v>
      </c>
      <c r="W34" s="189">
        <f t="shared" si="6"/>
        <v>65.17857142857143</v>
      </c>
      <c r="X34" s="7"/>
      <c r="Y34" s="38"/>
      <c r="Z34" s="46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s="25" customFormat="1" ht="13.5">
      <c r="A35" s="9"/>
      <c r="B35" s="6" t="s">
        <v>177</v>
      </c>
      <c r="C35" s="9" t="s">
        <v>179</v>
      </c>
      <c r="D35" s="5" t="s">
        <v>37</v>
      </c>
      <c r="E35" s="5" t="s">
        <v>140</v>
      </c>
      <c r="F35" s="5" t="s">
        <v>181</v>
      </c>
      <c r="G35" s="9"/>
      <c r="H35" s="5"/>
      <c r="I35" s="9"/>
      <c r="J35" s="11">
        <v>6000000</v>
      </c>
      <c r="K35" s="36"/>
      <c r="L35" s="37"/>
      <c r="M35" s="7" t="s">
        <v>78</v>
      </c>
      <c r="N35" s="177">
        <f>529000+529000+529000+362500+500000</f>
        <v>2449500</v>
      </c>
      <c r="O35" s="196">
        <f t="shared" si="7"/>
        <v>40.825</v>
      </c>
      <c r="P35" s="91" t="s">
        <v>139</v>
      </c>
      <c r="Q35" s="91" t="s">
        <v>320</v>
      </c>
      <c r="R35" s="88">
        <v>1058000</v>
      </c>
      <c r="S35" s="88">
        <v>1058000</v>
      </c>
      <c r="T35" s="88">
        <f t="shared" si="5"/>
        <v>2116000</v>
      </c>
      <c r="U35" s="205">
        <f t="shared" si="8"/>
        <v>35.266666666666666</v>
      </c>
      <c r="V35" s="8">
        <f t="shared" si="9"/>
        <v>3884000</v>
      </c>
      <c r="W35" s="189">
        <f t="shared" si="6"/>
        <v>64.73333333333333</v>
      </c>
      <c r="X35" s="7"/>
      <c r="Y35" s="38"/>
      <c r="Z35" s="46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s="25" customFormat="1" ht="13.5">
      <c r="A36" s="9"/>
      <c r="B36" s="6" t="s">
        <v>178</v>
      </c>
      <c r="C36" s="9" t="s">
        <v>180</v>
      </c>
      <c r="D36" s="5" t="s">
        <v>37</v>
      </c>
      <c r="E36" s="5" t="s">
        <v>140</v>
      </c>
      <c r="F36" s="5" t="s">
        <v>181</v>
      </c>
      <c r="G36" s="9"/>
      <c r="H36" s="5"/>
      <c r="I36" s="9"/>
      <c r="J36" s="11">
        <v>4080000</v>
      </c>
      <c r="K36" s="36"/>
      <c r="L36" s="37"/>
      <c r="M36" s="7" t="s">
        <v>78</v>
      </c>
      <c r="N36" s="177">
        <f>362500+362500+362500+340000</f>
        <v>1427500</v>
      </c>
      <c r="O36" s="196">
        <f t="shared" si="7"/>
        <v>34.98774509803921</v>
      </c>
      <c r="P36" s="91" t="s">
        <v>139</v>
      </c>
      <c r="Q36" s="91" t="s">
        <v>320</v>
      </c>
      <c r="R36" s="88">
        <v>725000</v>
      </c>
      <c r="S36" s="88">
        <v>725000</v>
      </c>
      <c r="T36" s="88">
        <f t="shared" si="5"/>
        <v>1450000</v>
      </c>
      <c r="U36" s="205">
        <f t="shared" si="8"/>
        <v>35.53921568627451</v>
      </c>
      <c r="V36" s="8">
        <f t="shared" si="9"/>
        <v>2630000</v>
      </c>
      <c r="W36" s="189">
        <f t="shared" si="6"/>
        <v>64.4607843137255</v>
      </c>
      <c r="X36" s="7"/>
      <c r="Y36" s="38"/>
      <c r="Z36" s="46"/>
      <c r="AA36" s="44"/>
      <c r="AB36" s="44"/>
      <c r="AC36" s="44"/>
      <c r="AD36" s="44"/>
      <c r="AE36" s="44"/>
      <c r="AF36" s="44"/>
      <c r="AG36" s="44"/>
      <c r="AH36" s="44"/>
      <c r="AI36" s="44"/>
    </row>
    <row r="37" spans="1:35" s="26" customFormat="1" ht="13.5">
      <c r="A37" s="10"/>
      <c r="B37" s="94" t="s">
        <v>160</v>
      </c>
      <c r="C37" s="10" t="s">
        <v>161</v>
      </c>
      <c r="D37" s="102" t="s">
        <v>37</v>
      </c>
      <c r="E37" s="102" t="s">
        <v>140</v>
      </c>
      <c r="F37" s="102" t="s">
        <v>181</v>
      </c>
      <c r="G37" s="10" t="s">
        <v>28</v>
      </c>
      <c r="H37" s="102" t="s">
        <v>5</v>
      </c>
      <c r="I37" s="10"/>
      <c r="J37" s="98">
        <f>J38</f>
        <v>95327000</v>
      </c>
      <c r="K37" s="103"/>
      <c r="L37" s="104"/>
      <c r="M37" s="105"/>
      <c r="N37" s="179">
        <f>N38</f>
        <v>38500000</v>
      </c>
      <c r="O37" s="195">
        <f t="shared" si="7"/>
        <v>40.38729845689049</v>
      </c>
      <c r="P37" s="170" t="s">
        <v>139</v>
      </c>
      <c r="Q37" s="170" t="s">
        <v>320</v>
      </c>
      <c r="R37" s="89">
        <f>R38</f>
        <v>0</v>
      </c>
      <c r="S37" s="88">
        <f>S38</f>
        <v>12669000</v>
      </c>
      <c r="T37" s="89">
        <f>T38</f>
        <v>12669000</v>
      </c>
      <c r="U37" s="204">
        <f t="shared" si="8"/>
        <v>13.290043744164823</v>
      </c>
      <c r="V37" s="86">
        <f>V38</f>
        <v>82658000</v>
      </c>
      <c r="W37" s="188">
        <f t="shared" si="6"/>
        <v>86.70995625583518</v>
      </c>
      <c r="X37" s="105"/>
      <c r="Y37" s="106"/>
      <c r="Z37" s="45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s="25" customFormat="1" ht="13.5">
      <c r="A38" s="9"/>
      <c r="B38" s="6" t="s">
        <v>159</v>
      </c>
      <c r="C38" s="9" t="s">
        <v>110</v>
      </c>
      <c r="D38" s="5" t="s">
        <v>37</v>
      </c>
      <c r="E38" s="5" t="s">
        <v>140</v>
      </c>
      <c r="F38" s="5" t="s">
        <v>181</v>
      </c>
      <c r="G38" s="9" t="s">
        <v>28</v>
      </c>
      <c r="H38" s="5" t="s">
        <v>5</v>
      </c>
      <c r="I38" s="9"/>
      <c r="J38" s="11">
        <v>95327000</v>
      </c>
      <c r="K38" s="36"/>
      <c r="L38" s="37"/>
      <c r="M38" s="7" t="s">
        <v>78</v>
      </c>
      <c r="N38" s="177">
        <f>8000000+8000000+7500000+7500000+7500000</f>
        <v>38500000</v>
      </c>
      <c r="O38" s="196">
        <f t="shared" si="7"/>
        <v>40.38729845689049</v>
      </c>
      <c r="P38" s="91" t="s">
        <v>139</v>
      </c>
      <c r="Q38" s="91" t="s">
        <v>320</v>
      </c>
      <c r="R38" s="88"/>
      <c r="S38" s="88">
        <v>12669000</v>
      </c>
      <c r="T38" s="88">
        <f>R38+S38</f>
        <v>12669000</v>
      </c>
      <c r="U38" s="204">
        <f t="shared" si="8"/>
        <v>13.290043744164823</v>
      </c>
      <c r="V38" s="8">
        <f>J38-T38</f>
        <v>82658000</v>
      </c>
      <c r="W38" s="189">
        <f t="shared" si="6"/>
        <v>86.70995625583518</v>
      </c>
      <c r="X38" s="7"/>
      <c r="Y38" s="38"/>
      <c r="Z38" s="46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1:35" s="126" customFormat="1" ht="13.5">
      <c r="A39" s="118">
        <v>2</v>
      </c>
      <c r="B39" s="119" t="s">
        <v>79</v>
      </c>
      <c r="C39" s="118"/>
      <c r="D39" s="120"/>
      <c r="E39" s="120"/>
      <c r="F39" s="120"/>
      <c r="G39" s="118"/>
      <c r="H39" s="120"/>
      <c r="I39" s="118"/>
      <c r="J39" s="121">
        <f>J40+J45+J53+J56+J59+J64+J67+J70</f>
        <v>3393865850</v>
      </c>
      <c r="K39" s="121"/>
      <c r="L39" s="121"/>
      <c r="M39" s="121"/>
      <c r="N39" s="121">
        <f>N40+N45+N53+N56+N59+N64+N67+N70</f>
        <v>1748216090</v>
      </c>
      <c r="O39" s="121">
        <f t="shared" si="7"/>
        <v>51.51105456923113</v>
      </c>
      <c r="P39" s="121"/>
      <c r="Q39" s="121"/>
      <c r="R39" s="123">
        <f>R40+R45+R53+R56+R59+R64+R67+R70</f>
        <v>305445591</v>
      </c>
      <c r="S39" s="123">
        <f>S40+S45+S53+S56+S59+S64+S67+S70</f>
        <v>831818206</v>
      </c>
      <c r="T39" s="123">
        <f>T40+T45+T53+T56+T59+T64+T67+T70</f>
        <v>1137263797</v>
      </c>
      <c r="U39" s="203">
        <f t="shared" si="8"/>
        <v>33.509391568909535</v>
      </c>
      <c r="V39" s="121">
        <f>V40+V45+V53+V56+V59+V64+V67+V70</f>
        <v>2256602053</v>
      </c>
      <c r="W39" s="121">
        <f>V39/J39*100</f>
        <v>66.49060843109046</v>
      </c>
      <c r="X39" s="121"/>
      <c r="Y39" s="106"/>
      <c r="Z39" s="45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s="26" customFormat="1" ht="13.5">
      <c r="A40" s="10"/>
      <c r="B40" s="94" t="s">
        <v>87</v>
      </c>
      <c r="C40" s="10" t="s">
        <v>112</v>
      </c>
      <c r="D40" s="102" t="s">
        <v>37</v>
      </c>
      <c r="E40" s="102" t="s">
        <v>140</v>
      </c>
      <c r="F40" s="102" t="s">
        <v>181</v>
      </c>
      <c r="G40" s="10" t="s">
        <v>28</v>
      </c>
      <c r="H40" s="102" t="s">
        <v>5</v>
      </c>
      <c r="I40" s="10" t="s">
        <v>28</v>
      </c>
      <c r="J40" s="264">
        <f>SUM(J41:J44)</f>
        <v>42480070</v>
      </c>
      <c r="K40" s="104"/>
      <c r="L40" s="104"/>
      <c r="M40" s="105"/>
      <c r="N40" s="110">
        <f>SUM(N41:N44)</f>
        <v>27129450</v>
      </c>
      <c r="O40" s="195">
        <f t="shared" si="7"/>
        <v>63.863948435113215</v>
      </c>
      <c r="P40" s="170" t="s">
        <v>139</v>
      </c>
      <c r="Q40" s="170" t="s">
        <v>320</v>
      </c>
      <c r="R40" s="89">
        <f>SUM(R42:R44)</f>
        <v>3059000</v>
      </c>
      <c r="S40" s="89">
        <f>SUM(S41:S43)</f>
        <v>14019000</v>
      </c>
      <c r="T40" s="89">
        <f>SUM(T41:T44)</f>
        <v>17078000</v>
      </c>
      <c r="U40" s="204">
        <f t="shared" si="8"/>
        <v>40.20238196405985</v>
      </c>
      <c r="V40" s="86">
        <f>SUM(V41:V44)</f>
        <v>25402070</v>
      </c>
      <c r="W40" s="303">
        <f>V40/J40*100</f>
        <v>59.79761803594015</v>
      </c>
      <c r="X40" s="105"/>
      <c r="Y40" s="106"/>
      <c r="Z40" s="45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s="25" customFormat="1" ht="13.5">
      <c r="A41" s="9"/>
      <c r="B41" s="6" t="s">
        <v>182</v>
      </c>
      <c r="C41" s="9" t="s">
        <v>134</v>
      </c>
      <c r="D41" s="5" t="s">
        <v>37</v>
      </c>
      <c r="E41" s="5" t="s">
        <v>306</v>
      </c>
      <c r="F41" s="5" t="s">
        <v>181</v>
      </c>
      <c r="G41" s="9" t="s">
        <v>28</v>
      </c>
      <c r="H41" s="5" t="s">
        <v>5</v>
      </c>
      <c r="I41" s="9"/>
      <c r="J41" s="265">
        <v>10720000</v>
      </c>
      <c r="K41" s="37"/>
      <c r="L41" s="37"/>
      <c r="M41" s="7" t="s">
        <v>78</v>
      </c>
      <c r="N41" s="112">
        <v>10720000</v>
      </c>
      <c r="O41" s="196">
        <f t="shared" si="7"/>
        <v>100</v>
      </c>
      <c r="P41" s="91" t="s">
        <v>139</v>
      </c>
      <c r="Q41" s="91" t="s">
        <v>320</v>
      </c>
      <c r="S41" s="88">
        <v>10400000</v>
      </c>
      <c r="T41" s="88">
        <f>R42+S41</f>
        <v>12380000</v>
      </c>
      <c r="U41" s="205">
        <f t="shared" si="8"/>
        <v>115.48507462686568</v>
      </c>
      <c r="V41" s="8">
        <f>J41-T41</f>
        <v>-1660000</v>
      </c>
      <c r="W41" s="304">
        <f>V41/J41*100</f>
        <v>-15.485074626865671</v>
      </c>
      <c r="X41" s="7"/>
      <c r="Y41" s="38"/>
      <c r="Z41" s="46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1:35" s="25" customFormat="1" ht="14.25" customHeight="1">
      <c r="A42" s="9"/>
      <c r="B42" s="73" t="s">
        <v>88</v>
      </c>
      <c r="C42" s="9" t="s">
        <v>113</v>
      </c>
      <c r="D42" s="5" t="s">
        <v>37</v>
      </c>
      <c r="E42" s="5" t="s">
        <v>140</v>
      </c>
      <c r="F42" s="5" t="s">
        <v>181</v>
      </c>
      <c r="G42" s="9" t="s">
        <v>28</v>
      </c>
      <c r="H42" s="5" t="s">
        <v>5</v>
      </c>
      <c r="I42" s="5"/>
      <c r="J42" s="265">
        <v>10500000</v>
      </c>
      <c r="K42" s="7"/>
      <c r="L42" s="7"/>
      <c r="M42" s="7" t="s">
        <v>78</v>
      </c>
      <c r="N42" s="112">
        <f>875000+875000+1460000+1458000+1458000</f>
        <v>6126000</v>
      </c>
      <c r="O42" s="196">
        <f t="shared" si="7"/>
        <v>58.34285714285714</v>
      </c>
      <c r="P42" s="91" t="s">
        <v>139</v>
      </c>
      <c r="Q42" s="91" t="s">
        <v>320</v>
      </c>
      <c r="R42" s="88">
        <v>1980000</v>
      </c>
      <c r="S42" s="88">
        <v>2625000</v>
      </c>
      <c r="T42" s="88">
        <f>R43+S42</f>
        <v>3704000</v>
      </c>
      <c r="U42" s="205">
        <f t="shared" si="8"/>
        <v>35.27619047619048</v>
      </c>
      <c r="V42" s="8">
        <f>J42-T42</f>
        <v>6796000</v>
      </c>
      <c r="W42" s="304">
        <f aca="true" t="shared" si="10" ref="W42:W72">V42/J42*100</f>
        <v>64.72380952380952</v>
      </c>
      <c r="X42" s="7"/>
      <c r="Y42" s="38"/>
      <c r="Z42" s="46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s="25" customFormat="1" ht="15" customHeight="1">
      <c r="A43" s="9"/>
      <c r="B43" s="73" t="s">
        <v>89</v>
      </c>
      <c r="C43" s="9" t="s">
        <v>109</v>
      </c>
      <c r="D43" s="5" t="s">
        <v>37</v>
      </c>
      <c r="E43" s="5" t="s">
        <v>140</v>
      </c>
      <c r="F43" s="5" t="s">
        <v>181</v>
      </c>
      <c r="G43" s="9" t="s">
        <v>28</v>
      </c>
      <c r="H43" s="5" t="s">
        <v>5</v>
      </c>
      <c r="I43" s="9" t="s">
        <v>28</v>
      </c>
      <c r="J43" s="265">
        <v>5727570</v>
      </c>
      <c r="K43" s="36"/>
      <c r="L43" s="37"/>
      <c r="M43" s="7" t="s">
        <v>78</v>
      </c>
      <c r="N43" s="112">
        <f>475950+475000+500000+500000+500000</f>
        <v>2450950</v>
      </c>
      <c r="O43" s="196">
        <f t="shared" si="7"/>
        <v>42.792143963321266</v>
      </c>
      <c r="P43" s="91" t="s">
        <v>139</v>
      </c>
      <c r="Q43" s="91" t="s">
        <v>320</v>
      </c>
      <c r="R43" s="88">
        <v>1079000</v>
      </c>
      <c r="S43" s="88">
        <v>994000</v>
      </c>
      <c r="T43" s="88">
        <f>R44+S43</f>
        <v>994000</v>
      </c>
      <c r="U43" s="205">
        <f t="shared" si="8"/>
        <v>17.35465476633197</v>
      </c>
      <c r="V43" s="8">
        <f aca="true" t="shared" si="11" ref="V43:V72">J43-T43</f>
        <v>4733570</v>
      </c>
      <c r="W43" s="304">
        <f t="shared" si="10"/>
        <v>82.64534523366804</v>
      </c>
      <c r="X43" s="7"/>
      <c r="Y43" s="38"/>
      <c r="Z43" s="46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s="25" customFormat="1" ht="15" customHeight="1">
      <c r="A44" s="9"/>
      <c r="B44" s="266" t="s">
        <v>183</v>
      </c>
      <c r="C44" s="9" t="s">
        <v>206</v>
      </c>
      <c r="D44" s="5" t="s">
        <v>37</v>
      </c>
      <c r="E44" s="5" t="s">
        <v>140</v>
      </c>
      <c r="F44" s="5" t="s">
        <v>181</v>
      </c>
      <c r="G44" s="9" t="s">
        <v>28</v>
      </c>
      <c r="H44" s="5" t="s">
        <v>5</v>
      </c>
      <c r="I44" s="9"/>
      <c r="J44" s="265">
        <v>15532500</v>
      </c>
      <c r="K44" s="36"/>
      <c r="L44" s="37"/>
      <c r="M44" s="7" t="s">
        <v>78</v>
      </c>
      <c r="N44" s="112">
        <f>1650000+1650000+1650000+1755000+1127500</f>
        <v>7832500</v>
      </c>
      <c r="O44" s="196">
        <f t="shared" si="7"/>
        <v>50.42652502816674</v>
      </c>
      <c r="P44" s="91" t="s">
        <v>139</v>
      </c>
      <c r="Q44" s="91" t="s">
        <v>320</v>
      </c>
      <c r="R44" s="88">
        <v>0</v>
      </c>
      <c r="S44" s="88">
        <v>0</v>
      </c>
      <c r="T44" s="88">
        <f>R44+S44</f>
        <v>0</v>
      </c>
      <c r="U44" s="205">
        <f t="shared" si="8"/>
        <v>0</v>
      </c>
      <c r="V44" s="8">
        <f t="shared" si="11"/>
        <v>15532500</v>
      </c>
      <c r="W44" s="304">
        <f t="shared" si="10"/>
        <v>100</v>
      </c>
      <c r="X44" s="7"/>
      <c r="Y44" s="38"/>
      <c r="Z44" s="46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s="26" customFormat="1" ht="15" customHeight="1">
      <c r="A45" s="10"/>
      <c r="B45" s="267" t="s">
        <v>106</v>
      </c>
      <c r="C45" s="159">
        <v>2003</v>
      </c>
      <c r="D45" s="102" t="s">
        <v>37</v>
      </c>
      <c r="E45" s="102" t="s">
        <v>140</v>
      </c>
      <c r="F45" s="102" t="s">
        <v>181</v>
      </c>
      <c r="G45" s="10" t="s">
        <v>28</v>
      </c>
      <c r="H45" s="102" t="s">
        <v>5</v>
      </c>
      <c r="I45" s="10"/>
      <c r="J45" s="264">
        <f>SUM(J46:J52)</f>
        <v>867535000</v>
      </c>
      <c r="K45" s="103"/>
      <c r="L45" s="104"/>
      <c r="M45" s="105"/>
      <c r="N45" s="110">
        <f>SUM(N46:N52)</f>
        <v>340010000</v>
      </c>
      <c r="O45" s="195">
        <f t="shared" si="7"/>
        <v>39.192655051381216</v>
      </c>
      <c r="P45" s="170" t="s">
        <v>139</v>
      </c>
      <c r="Q45" s="170" t="s">
        <v>320</v>
      </c>
      <c r="R45" s="89">
        <f>SUM(R46:R52)</f>
        <v>50852152</v>
      </c>
      <c r="S45" s="89">
        <f>SUM(S46:S52)</f>
        <v>131093582</v>
      </c>
      <c r="T45" s="89">
        <f aca="true" t="shared" si="12" ref="T45:T72">R45+S45</f>
        <v>181945734</v>
      </c>
      <c r="U45" s="204">
        <f t="shared" si="8"/>
        <v>20.972725480816337</v>
      </c>
      <c r="V45" s="86">
        <f>SUM(V46:V52)</f>
        <v>685589266</v>
      </c>
      <c r="W45" s="303">
        <f t="shared" si="10"/>
        <v>79.02727451918366</v>
      </c>
      <c r="X45" s="105"/>
      <c r="Y45" s="106"/>
      <c r="Z45" s="45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s="25" customFormat="1" ht="15" customHeight="1">
      <c r="A46" s="9"/>
      <c r="B46" s="266" t="s">
        <v>90</v>
      </c>
      <c r="C46" s="9" t="s">
        <v>110</v>
      </c>
      <c r="D46" s="5" t="s">
        <v>37</v>
      </c>
      <c r="E46" s="5" t="s">
        <v>140</v>
      </c>
      <c r="F46" s="5" t="s">
        <v>181</v>
      </c>
      <c r="G46" s="9" t="s">
        <v>28</v>
      </c>
      <c r="H46" s="5" t="s">
        <v>5</v>
      </c>
      <c r="I46" s="9"/>
      <c r="J46" s="265">
        <v>134160000</v>
      </c>
      <c r="K46" s="36"/>
      <c r="L46" s="37"/>
      <c r="M46" s="7" t="s">
        <v>78</v>
      </c>
      <c r="N46" s="112">
        <f>8080000+8080000+11750000+11750000+11750000</f>
        <v>51410000</v>
      </c>
      <c r="O46" s="196">
        <f t="shared" si="7"/>
        <v>38.31991651759093</v>
      </c>
      <c r="P46" s="91" t="s">
        <v>139</v>
      </c>
      <c r="Q46" s="91" t="s">
        <v>320</v>
      </c>
      <c r="R46" s="88">
        <v>14718630</v>
      </c>
      <c r="S46" s="88">
        <v>38610160</v>
      </c>
      <c r="T46" s="88">
        <f t="shared" si="12"/>
        <v>53328790</v>
      </c>
      <c r="U46" s="205">
        <f t="shared" si="8"/>
        <v>39.750141621943946</v>
      </c>
      <c r="V46" s="8">
        <f>J46-T46</f>
        <v>80831210</v>
      </c>
      <c r="W46" s="304">
        <f t="shared" si="10"/>
        <v>60.249858378056054</v>
      </c>
      <c r="X46" s="7"/>
      <c r="Y46" s="38"/>
      <c r="Z46" s="46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35" s="25" customFormat="1" ht="15" customHeight="1">
      <c r="A47" s="9"/>
      <c r="B47" s="266" t="s">
        <v>184</v>
      </c>
      <c r="C47" s="9" t="s">
        <v>207</v>
      </c>
      <c r="D47" s="5" t="s">
        <v>37</v>
      </c>
      <c r="E47" s="5" t="s">
        <v>140</v>
      </c>
      <c r="F47" s="5" t="s">
        <v>181</v>
      </c>
      <c r="G47" s="9" t="s">
        <v>28</v>
      </c>
      <c r="H47" s="5" t="s">
        <v>5</v>
      </c>
      <c r="I47" s="9"/>
      <c r="J47" s="265">
        <v>48000000</v>
      </c>
      <c r="K47" s="36"/>
      <c r="L47" s="37"/>
      <c r="M47" s="7" t="s">
        <v>221</v>
      </c>
      <c r="N47" s="112">
        <f>4000000+4000000+4000000+4000000+4000000</f>
        <v>20000000</v>
      </c>
      <c r="O47" s="196">
        <f t="shared" si="7"/>
        <v>41.66666666666667</v>
      </c>
      <c r="P47" s="91" t="s">
        <v>139</v>
      </c>
      <c r="Q47" s="91" t="s">
        <v>320</v>
      </c>
      <c r="R47" s="88">
        <v>2942000</v>
      </c>
      <c r="S47" s="88">
        <v>8798700</v>
      </c>
      <c r="T47" s="88">
        <f t="shared" si="12"/>
        <v>11740700</v>
      </c>
      <c r="U47" s="205">
        <f t="shared" si="8"/>
        <v>24.459791666666668</v>
      </c>
      <c r="V47" s="8">
        <f t="shared" si="11"/>
        <v>36259300</v>
      </c>
      <c r="W47" s="304">
        <f t="shared" si="10"/>
        <v>75.54020833333334</v>
      </c>
      <c r="X47" s="7"/>
      <c r="Y47" s="38"/>
      <c r="Z47" s="46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5" s="25" customFormat="1" ht="15" customHeight="1">
      <c r="A48" s="9"/>
      <c r="B48" s="266" t="s">
        <v>185</v>
      </c>
      <c r="C48" s="9" t="s">
        <v>208</v>
      </c>
      <c r="D48" s="5" t="s">
        <v>37</v>
      </c>
      <c r="E48" s="5" t="s">
        <v>140</v>
      </c>
      <c r="F48" s="5" t="s">
        <v>181</v>
      </c>
      <c r="G48" s="9" t="s">
        <v>28</v>
      </c>
      <c r="H48" s="5" t="s">
        <v>5</v>
      </c>
      <c r="I48" s="9"/>
      <c r="J48" s="265">
        <v>531900000</v>
      </c>
      <c r="K48" s="36"/>
      <c r="L48" s="37"/>
      <c r="M48" s="7" t="s">
        <v>221</v>
      </c>
      <c r="N48" s="112">
        <f>44325000+44325000+44325000+44325000+44325000</f>
        <v>221625000</v>
      </c>
      <c r="O48" s="196">
        <f t="shared" si="7"/>
        <v>41.66666666666667</v>
      </c>
      <c r="P48" s="91" t="s">
        <v>139</v>
      </c>
      <c r="Q48" s="91" t="s">
        <v>320</v>
      </c>
      <c r="R48" s="88">
        <v>25321522</v>
      </c>
      <c r="S48" s="88">
        <v>76754722</v>
      </c>
      <c r="T48" s="88">
        <f t="shared" si="12"/>
        <v>102076244</v>
      </c>
      <c r="U48" s="205">
        <f t="shared" si="8"/>
        <v>19.190871216394058</v>
      </c>
      <c r="V48" s="8">
        <f t="shared" si="11"/>
        <v>429823756</v>
      </c>
      <c r="W48" s="304">
        <f t="shared" si="10"/>
        <v>80.80912878360594</v>
      </c>
      <c r="X48" s="7"/>
      <c r="Y48" s="38"/>
      <c r="Z48" s="46"/>
      <c r="AA48" s="44"/>
      <c r="AB48" s="44"/>
      <c r="AC48" s="44"/>
      <c r="AD48" s="44"/>
      <c r="AE48" s="44"/>
      <c r="AF48" s="44"/>
      <c r="AG48" s="44"/>
      <c r="AH48" s="44"/>
      <c r="AI48" s="44"/>
    </row>
    <row r="49" spans="1:35" s="25" customFormat="1" ht="15" customHeight="1">
      <c r="A49" s="9"/>
      <c r="B49" s="266" t="s">
        <v>186</v>
      </c>
      <c r="C49" s="9" t="s">
        <v>209</v>
      </c>
      <c r="D49" s="5" t="s">
        <v>37</v>
      </c>
      <c r="E49" s="5" t="s">
        <v>140</v>
      </c>
      <c r="F49" s="5" t="s">
        <v>181</v>
      </c>
      <c r="G49" s="9" t="s">
        <v>28</v>
      </c>
      <c r="H49" s="5" t="s">
        <v>5</v>
      </c>
      <c r="I49" s="9"/>
      <c r="J49" s="265">
        <v>50400000</v>
      </c>
      <c r="K49" s="36"/>
      <c r="L49" s="37"/>
      <c r="M49" s="7" t="s">
        <v>78</v>
      </c>
      <c r="N49" s="112">
        <f>4200000+4200000+4200000+4200000+4200000</f>
        <v>21000000</v>
      </c>
      <c r="O49" s="196">
        <f t="shared" si="7"/>
        <v>41.66666666666667</v>
      </c>
      <c r="P49" s="91" t="s">
        <v>139</v>
      </c>
      <c r="Q49" s="91" t="s">
        <v>320</v>
      </c>
      <c r="R49" s="88">
        <v>6270000</v>
      </c>
      <c r="S49" s="88">
        <v>5220000</v>
      </c>
      <c r="T49" s="88">
        <f t="shared" si="12"/>
        <v>11490000</v>
      </c>
      <c r="U49" s="205">
        <f t="shared" si="8"/>
        <v>22.797619047619047</v>
      </c>
      <c r="V49" s="8">
        <f t="shared" si="11"/>
        <v>38910000</v>
      </c>
      <c r="W49" s="304">
        <f t="shared" si="10"/>
        <v>77.20238095238095</v>
      </c>
      <c r="X49" s="7"/>
      <c r="Y49" s="38"/>
      <c r="Z49" s="46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s="25" customFormat="1" ht="15" customHeight="1">
      <c r="A50" s="9"/>
      <c r="B50" s="266" t="s">
        <v>187</v>
      </c>
      <c r="C50" s="9" t="s">
        <v>115</v>
      </c>
      <c r="D50" s="5" t="s">
        <v>37</v>
      </c>
      <c r="E50" s="5" t="s">
        <v>140</v>
      </c>
      <c r="F50" s="5" t="s">
        <v>181</v>
      </c>
      <c r="G50" s="9" t="s">
        <v>28</v>
      </c>
      <c r="H50" s="5" t="s">
        <v>5</v>
      </c>
      <c r="I50" s="9"/>
      <c r="J50" s="265">
        <v>61875000</v>
      </c>
      <c r="K50" s="36"/>
      <c r="L50" s="37"/>
      <c r="M50" s="7" t="s">
        <v>78</v>
      </c>
      <c r="N50" s="112">
        <f>4956250+4956250+5162500+5200000+5200000</f>
        <v>25475000</v>
      </c>
      <c r="O50" s="196">
        <f t="shared" si="7"/>
        <v>41.17171717171717</v>
      </c>
      <c r="P50" s="91" t="s">
        <v>139</v>
      </c>
      <c r="Q50" s="91" t="s">
        <v>320</v>
      </c>
      <c r="R50" s="88">
        <v>1500000</v>
      </c>
      <c r="S50" s="88">
        <v>1500000</v>
      </c>
      <c r="T50" s="88">
        <f t="shared" si="12"/>
        <v>3000000</v>
      </c>
      <c r="U50" s="205">
        <f t="shared" si="8"/>
        <v>4.848484848484849</v>
      </c>
      <c r="V50" s="8">
        <f t="shared" si="11"/>
        <v>58875000</v>
      </c>
      <c r="W50" s="304">
        <f t="shared" si="10"/>
        <v>95.15151515151516</v>
      </c>
      <c r="X50" s="7"/>
      <c r="Y50" s="38"/>
      <c r="Z50" s="46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s="25" customFormat="1" ht="27" customHeight="1">
      <c r="A51" s="9"/>
      <c r="B51" s="266" t="s">
        <v>188</v>
      </c>
      <c r="C51" s="9" t="s">
        <v>210</v>
      </c>
      <c r="D51" s="5" t="s">
        <v>37</v>
      </c>
      <c r="E51" s="5" t="s">
        <v>307</v>
      </c>
      <c r="F51" s="5" t="s">
        <v>181</v>
      </c>
      <c r="G51" s="9" t="s">
        <v>28</v>
      </c>
      <c r="H51" s="5" t="s">
        <v>5</v>
      </c>
      <c r="I51" s="9"/>
      <c r="J51" s="265">
        <v>40000000</v>
      </c>
      <c r="K51" s="36"/>
      <c r="L51" s="37"/>
      <c r="M51" s="7" t="s">
        <v>78</v>
      </c>
      <c r="N51" s="112">
        <f>6400000-6400000</f>
        <v>0</v>
      </c>
      <c r="O51" s="196">
        <f t="shared" si="7"/>
        <v>0</v>
      </c>
      <c r="P51" s="91" t="s">
        <v>141</v>
      </c>
      <c r="Q51" s="91" t="s">
        <v>320</v>
      </c>
      <c r="R51" s="88"/>
      <c r="S51" s="88">
        <v>0</v>
      </c>
      <c r="T51" s="88">
        <f t="shared" si="12"/>
        <v>0</v>
      </c>
      <c r="U51" s="205">
        <f t="shared" si="8"/>
        <v>0</v>
      </c>
      <c r="V51" s="8">
        <f t="shared" si="11"/>
        <v>40000000</v>
      </c>
      <c r="W51" s="304">
        <f t="shared" si="10"/>
        <v>100</v>
      </c>
      <c r="X51" s="7"/>
      <c r="Y51" s="38"/>
      <c r="Z51" s="46"/>
      <c r="AA51" s="44"/>
      <c r="AB51" s="44"/>
      <c r="AC51" s="44"/>
      <c r="AD51" s="44"/>
      <c r="AE51" s="44"/>
      <c r="AF51" s="44"/>
      <c r="AG51" s="44"/>
      <c r="AH51" s="44"/>
      <c r="AI51" s="44"/>
    </row>
    <row r="52" spans="1:35" s="25" customFormat="1" ht="15" customHeight="1">
      <c r="A52" s="9"/>
      <c r="B52" s="266" t="s">
        <v>189</v>
      </c>
      <c r="C52" s="9" t="s">
        <v>211</v>
      </c>
      <c r="D52" s="5" t="s">
        <v>37</v>
      </c>
      <c r="E52" s="5" t="s">
        <v>140</v>
      </c>
      <c r="F52" s="5" t="s">
        <v>181</v>
      </c>
      <c r="G52" s="9" t="s">
        <v>28</v>
      </c>
      <c r="H52" s="5" t="s">
        <v>5</v>
      </c>
      <c r="I52" s="9"/>
      <c r="J52" s="265">
        <v>1200000</v>
      </c>
      <c r="K52" s="36"/>
      <c r="L52" s="37"/>
      <c r="M52" s="7" t="s">
        <v>78</v>
      </c>
      <c r="N52" s="112">
        <f>100000+100000+100000+100000+100000</f>
        <v>500000</v>
      </c>
      <c r="O52" s="196">
        <f>N52/J52*100</f>
        <v>41.66666666666667</v>
      </c>
      <c r="P52" s="91" t="s">
        <v>139</v>
      </c>
      <c r="Q52" s="91" t="s">
        <v>320</v>
      </c>
      <c r="R52" s="88">
        <v>100000</v>
      </c>
      <c r="S52" s="88">
        <v>210000</v>
      </c>
      <c r="T52" s="88">
        <f t="shared" si="12"/>
        <v>310000</v>
      </c>
      <c r="U52" s="205">
        <f t="shared" si="8"/>
        <v>25.833333333333336</v>
      </c>
      <c r="V52" s="8">
        <f>J52-T52</f>
        <v>890000</v>
      </c>
      <c r="W52" s="304">
        <f t="shared" si="10"/>
        <v>74.16666666666667</v>
      </c>
      <c r="X52" s="7"/>
      <c r="Y52" s="38"/>
      <c r="Z52" s="46"/>
      <c r="AA52" s="44"/>
      <c r="AB52" s="44"/>
      <c r="AC52" s="44"/>
      <c r="AD52" s="44"/>
      <c r="AE52" s="44"/>
      <c r="AF52" s="44"/>
      <c r="AG52" s="44"/>
      <c r="AH52" s="44"/>
      <c r="AI52" s="44"/>
    </row>
    <row r="53" spans="1:35" s="26" customFormat="1" ht="15" customHeight="1">
      <c r="A53" s="10"/>
      <c r="B53" s="267" t="s">
        <v>91</v>
      </c>
      <c r="C53" s="10" t="s">
        <v>116</v>
      </c>
      <c r="D53" s="102" t="s">
        <v>37</v>
      </c>
      <c r="E53" s="102" t="s">
        <v>140</v>
      </c>
      <c r="F53" s="102" t="s">
        <v>181</v>
      </c>
      <c r="G53" s="10" t="s">
        <v>28</v>
      </c>
      <c r="H53" s="102" t="s">
        <v>5</v>
      </c>
      <c r="I53" s="10"/>
      <c r="J53" s="264">
        <f>SUM(J54:J55)</f>
        <v>88295280</v>
      </c>
      <c r="K53" s="103"/>
      <c r="L53" s="104"/>
      <c r="M53" s="105"/>
      <c r="N53" s="110">
        <f>SUM(N54:N55)</f>
        <v>39568640</v>
      </c>
      <c r="O53" s="195">
        <f>N53/J53*100</f>
        <v>44.813992322126396</v>
      </c>
      <c r="P53" s="170" t="s">
        <v>139</v>
      </c>
      <c r="Q53" s="170" t="s">
        <v>320</v>
      </c>
      <c r="R53" s="89">
        <f>SUM(R54:R55)</f>
        <v>8789307</v>
      </c>
      <c r="S53" s="89">
        <f>SUM(S54:S55)</f>
        <v>18237160</v>
      </c>
      <c r="T53" s="89">
        <f t="shared" si="12"/>
        <v>27026467</v>
      </c>
      <c r="U53" s="204">
        <f t="shared" si="8"/>
        <v>30.609186583926117</v>
      </c>
      <c r="V53" s="86">
        <f>SUM(V54:V55)</f>
        <v>61268813</v>
      </c>
      <c r="W53" s="303">
        <f t="shared" si="10"/>
        <v>69.39081341607388</v>
      </c>
      <c r="X53" s="105"/>
      <c r="Y53" s="106"/>
      <c r="Z53" s="45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s="25" customFormat="1" ht="15" customHeight="1">
      <c r="A54" s="9"/>
      <c r="B54" s="266" t="s">
        <v>190</v>
      </c>
      <c r="C54" s="9" t="s">
        <v>212</v>
      </c>
      <c r="D54" s="5" t="s">
        <v>37</v>
      </c>
      <c r="E54" s="5" t="s">
        <v>140</v>
      </c>
      <c r="F54" s="5" t="s">
        <v>181</v>
      </c>
      <c r="G54" s="9" t="s">
        <v>28</v>
      </c>
      <c r="H54" s="5" t="s">
        <v>5</v>
      </c>
      <c r="I54" s="9"/>
      <c r="J54" s="265">
        <v>79688460</v>
      </c>
      <c r="K54" s="36"/>
      <c r="L54" s="37"/>
      <c r="M54" s="7" t="s">
        <v>78</v>
      </c>
      <c r="N54" s="306">
        <f>29341760+6640705</f>
        <v>35982465</v>
      </c>
      <c r="O54" s="196">
        <f>N54/J54*100</f>
        <v>45.153921910399575</v>
      </c>
      <c r="P54" s="91" t="s">
        <v>139</v>
      </c>
      <c r="Q54" s="91" t="s">
        <v>320</v>
      </c>
      <c r="R54" s="88">
        <v>6442475</v>
      </c>
      <c r="S54" s="88">
        <v>18237160</v>
      </c>
      <c r="T54" s="88">
        <f t="shared" si="12"/>
        <v>24679635</v>
      </c>
      <c r="U54" s="205">
        <f t="shared" si="8"/>
        <v>30.970149253731343</v>
      </c>
      <c r="V54" s="8">
        <f>J54-T54</f>
        <v>55008825</v>
      </c>
      <c r="W54" s="304">
        <f t="shared" si="10"/>
        <v>69.02985074626866</v>
      </c>
      <c r="X54" s="7"/>
      <c r="Y54" s="38"/>
      <c r="Z54" s="46"/>
      <c r="AA54" s="44"/>
      <c r="AB54" s="44"/>
      <c r="AC54" s="44"/>
      <c r="AD54" s="44"/>
      <c r="AE54" s="44"/>
      <c r="AF54" s="44"/>
      <c r="AG54" s="44"/>
      <c r="AH54" s="44"/>
      <c r="AI54" s="44"/>
    </row>
    <row r="55" spans="1:35" s="25" customFormat="1" ht="15" customHeight="1">
      <c r="A55" s="9"/>
      <c r="B55" s="266" t="s">
        <v>191</v>
      </c>
      <c r="C55" s="9" t="s">
        <v>143</v>
      </c>
      <c r="D55" s="5" t="s">
        <v>37</v>
      </c>
      <c r="E55" s="5" t="s">
        <v>140</v>
      </c>
      <c r="F55" s="5" t="s">
        <v>181</v>
      </c>
      <c r="G55" s="9" t="s">
        <v>28</v>
      </c>
      <c r="H55" s="5" t="s">
        <v>5</v>
      </c>
      <c r="I55" s="9"/>
      <c r="J55" s="265">
        <v>8606820</v>
      </c>
      <c r="K55" s="36"/>
      <c r="L55" s="37"/>
      <c r="M55" s="7" t="s">
        <v>78</v>
      </c>
      <c r="N55" s="305">
        <f>2868940+717235</f>
        <v>3586175</v>
      </c>
      <c r="O55" s="196">
        <f>N55/J55*100</f>
        <v>41.66666666666667</v>
      </c>
      <c r="P55" s="91" t="s">
        <v>139</v>
      </c>
      <c r="Q55" s="91" t="s">
        <v>320</v>
      </c>
      <c r="R55" s="88">
        <v>2346832</v>
      </c>
      <c r="S55" s="88">
        <v>0</v>
      </c>
      <c r="T55" s="88">
        <f t="shared" si="12"/>
        <v>2346832</v>
      </c>
      <c r="U55" s="204">
        <f t="shared" si="8"/>
        <v>27.267120725192346</v>
      </c>
      <c r="V55" s="8">
        <f t="shared" si="11"/>
        <v>6259988</v>
      </c>
      <c r="W55" s="304">
        <f t="shared" si="10"/>
        <v>72.73287927480764</v>
      </c>
      <c r="X55" s="7"/>
      <c r="Y55" s="38"/>
      <c r="Z55" s="46"/>
      <c r="AA55" s="44"/>
      <c r="AB55" s="44"/>
      <c r="AC55" s="44"/>
      <c r="AD55" s="44"/>
      <c r="AE55" s="44"/>
      <c r="AF55" s="44"/>
      <c r="AG55" s="44"/>
      <c r="AH55" s="44"/>
      <c r="AI55" s="44"/>
    </row>
    <row r="56" spans="1:35" s="26" customFormat="1" ht="15" customHeight="1">
      <c r="A56" s="10"/>
      <c r="B56" s="267" t="s">
        <v>92</v>
      </c>
      <c r="C56" s="10" t="s">
        <v>117</v>
      </c>
      <c r="D56" s="102" t="s">
        <v>37</v>
      </c>
      <c r="E56" s="102" t="s">
        <v>140</v>
      </c>
      <c r="F56" s="102" t="s">
        <v>181</v>
      </c>
      <c r="G56" s="10" t="s">
        <v>28</v>
      </c>
      <c r="H56" s="102" t="s">
        <v>5</v>
      </c>
      <c r="I56" s="10"/>
      <c r="J56" s="264">
        <f>SUM(J57:J58)</f>
        <v>149121500</v>
      </c>
      <c r="K56" s="103"/>
      <c r="L56" s="104"/>
      <c r="M56" s="105"/>
      <c r="N56" s="175">
        <f>N57+N58</f>
        <v>62970000</v>
      </c>
      <c r="O56" s="195">
        <f aca="true" t="shared" si="13" ref="O56:O72">N56/J56*100</f>
        <v>42.227311286434215</v>
      </c>
      <c r="P56" s="170" t="s">
        <v>139</v>
      </c>
      <c r="Q56" s="170" t="s">
        <v>320</v>
      </c>
      <c r="R56" s="89">
        <f>SUM(R57:R58)</f>
        <v>836300</v>
      </c>
      <c r="S56" s="89">
        <f>SUM(S57:S58)</f>
        <v>20711200</v>
      </c>
      <c r="T56" s="89">
        <f t="shared" si="12"/>
        <v>21547500</v>
      </c>
      <c r="U56" s="204">
        <f t="shared" si="8"/>
        <v>14.449626646727667</v>
      </c>
      <c r="V56" s="86">
        <f>SUM(V57:V58)</f>
        <v>127574000</v>
      </c>
      <c r="W56" s="303">
        <f t="shared" si="10"/>
        <v>85.55037335327233</v>
      </c>
      <c r="X56" s="105"/>
      <c r="Y56" s="106"/>
      <c r="Z56" s="45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s="25" customFormat="1" ht="15" customHeight="1">
      <c r="A57" s="9"/>
      <c r="B57" s="266" t="s">
        <v>192</v>
      </c>
      <c r="C57" s="9" t="s">
        <v>136</v>
      </c>
      <c r="D57" s="5" t="s">
        <v>37</v>
      </c>
      <c r="E57" s="5" t="s">
        <v>140</v>
      </c>
      <c r="F57" s="5" t="s">
        <v>181</v>
      </c>
      <c r="G57" s="9" t="s">
        <v>28</v>
      </c>
      <c r="H57" s="5" t="s">
        <v>5</v>
      </c>
      <c r="I57" s="9"/>
      <c r="J57" s="265">
        <v>147651500</v>
      </c>
      <c r="K57" s="36"/>
      <c r="L57" s="37"/>
      <c r="M57" s="7" t="s">
        <v>78</v>
      </c>
      <c r="N57" s="305">
        <f>12300000+12300000+12300000+12300000+12300000</f>
        <v>61500000</v>
      </c>
      <c r="O57" s="196">
        <f t="shared" si="13"/>
        <v>41.65213357128103</v>
      </c>
      <c r="P57" s="91" t="s">
        <v>139</v>
      </c>
      <c r="Q57" s="91" t="s">
        <v>320</v>
      </c>
      <c r="R57" s="88">
        <v>0</v>
      </c>
      <c r="S57" s="88">
        <v>20077500</v>
      </c>
      <c r="T57" s="88">
        <f t="shared" si="12"/>
        <v>20077500</v>
      </c>
      <c r="U57" s="205">
        <f t="shared" si="8"/>
        <v>13.597897752477964</v>
      </c>
      <c r="V57" s="8">
        <f t="shared" si="11"/>
        <v>127574000</v>
      </c>
      <c r="W57" s="304">
        <f t="shared" si="10"/>
        <v>86.40210224752204</v>
      </c>
      <c r="X57" s="7"/>
      <c r="Y57" s="38"/>
      <c r="Z57" s="46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s="25" customFormat="1" ht="27">
      <c r="A58" s="9"/>
      <c r="B58" s="266" t="s">
        <v>193</v>
      </c>
      <c r="C58" s="9" t="s">
        <v>118</v>
      </c>
      <c r="D58" s="5" t="s">
        <v>37</v>
      </c>
      <c r="E58" s="5" t="s">
        <v>140</v>
      </c>
      <c r="F58" s="5" t="s">
        <v>181</v>
      </c>
      <c r="G58" s="9" t="s">
        <v>28</v>
      </c>
      <c r="H58" s="5" t="s">
        <v>5</v>
      </c>
      <c r="I58" s="9"/>
      <c r="J58" s="265">
        <v>1470000</v>
      </c>
      <c r="K58" s="36"/>
      <c r="L58" s="37"/>
      <c r="M58" s="7" t="s">
        <v>78</v>
      </c>
      <c r="N58" s="112">
        <f>1470000</f>
        <v>1470000</v>
      </c>
      <c r="O58" s="196">
        <f t="shared" si="13"/>
        <v>100</v>
      </c>
      <c r="P58" s="91" t="s">
        <v>139</v>
      </c>
      <c r="Q58" s="91" t="s">
        <v>139</v>
      </c>
      <c r="R58" s="88">
        <v>836300</v>
      </c>
      <c r="S58" s="88">
        <v>633700</v>
      </c>
      <c r="T58" s="88">
        <f t="shared" si="12"/>
        <v>1470000</v>
      </c>
      <c r="U58" s="205">
        <f t="shared" si="8"/>
        <v>100</v>
      </c>
      <c r="V58" s="8">
        <f t="shared" si="11"/>
        <v>0</v>
      </c>
      <c r="W58" s="304">
        <f t="shared" si="10"/>
        <v>0</v>
      </c>
      <c r="X58" s="7"/>
      <c r="Y58" s="38"/>
      <c r="Z58" s="46"/>
      <c r="AA58" s="44"/>
      <c r="AB58" s="44"/>
      <c r="AC58" s="44"/>
      <c r="AD58" s="44"/>
      <c r="AE58" s="44"/>
      <c r="AF58" s="44"/>
      <c r="AG58" s="44"/>
      <c r="AH58" s="44"/>
      <c r="AI58" s="44"/>
    </row>
    <row r="59" spans="1:35" s="26" customFormat="1" ht="15" customHeight="1">
      <c r="A59" s="10"/>
      <c r="B59" s="267" t="s">
        <v>194</v>
      </c>
      <c r="C59" s="10" t="s">
        <v>213</v>
      </c>
      <c r="D59" s="102" t="s">
        <v>37</v>
      </c>
      <c r="E59" s="102" t="s">
        <v>306</v>
      </c>
      <c r="F59" s="102" t="s">
        <v>181</v>
      </c>
      <c r="G59" s="10" t="s">
        <v>28</v>
      </c>
      <c r="H59" s="102" t="s">
        <v>5</v>
      </c>
      <c r="I59" s="10"/>
      <c r="J59" s="264">
        <f>SUM(J60:J63)</f>
        <v>44468000</v>
      </c>
      <c r="K59" s="103"/>
      <c r="L59" s="104"/>
      <c r="M59" s="105"/>
      <c r="N59" s="110">
        <f>SUM(N60:N63)</f>
        <v>44468000</v>
      </c>
      <c r="O59" s="195">
        <f t="shared" si="13"/>
        <v>100</v>
      </c>
      <c r="P59" s="170" t="s">
        <v>139</v>
      </c>
      <c r="Q59" s="170" t="s">
        <v>139</v>
      </c>
      <c r="R59" s="89">
        <f>SUM(R60:R63)</f>
        <v>42361000</v>
      </c>
      <c r="S59" s="89">
        <v>0</v>
      </c>
      <c r="T59" s="89">
        <f t="shared" si="12"/>
        <v>42361000</v>
      </c>
      <c r="U59" s="204">
        <f t="shared" si="8"/>
        <v>95.26176126652874</v>
      </c>
      <c r="V59" s="86">
        <f>SUM(V60:V63)</f>
        <v>2107000</v>
      </c>
      <c r="W59" s="303">
        <f t="shared" si="10"/>
        <v>4.738238733471261</v>
      </c>
      <c r="X59" s="105"/>
      <c r="Y59" s="106"/>
      <c r="Z59" s="45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s="25" customFormat="1" ht="15" customHeight="1">
      <c r="A60" s="9"/>
      <c r="B60" s="266" t="s">
        <v>195</v>
      </c>
      <c r="C60" s="9" t="s">
        <v>214</v>
      </c>
      <c r="D60" s="5" t="s">
        <v>37</v>
      </c>
      <c r="E60" s="5" t="s">
        <v>306</v>
      </c>
      <c r="F60" s="5" t="s">
        <v>181</v>
      </c>
      <c r="G60" s="9" t="s">
        <v>28</v>
      </c>
      <c r="H60" s="5" t="s">
        <v>5</v>
      </c>
      <c r="I60" s="9"/>
      <c r="J60" s="265">
        <v>14000000</v>
      </c>
      <c r="K60" s="36"/>
      <c r="L60" s="37"/>
      <c r="M60" s="7" t="s">
        <v>221</v>
      </c>
      <c r="N60" s="112">
        <v>14000000</v>
      </c>
      <c r="O60" s="196">
        <f t="shared" si="13"/>
        <v>100</v>
      </c>
      <c r="P60" s="91" t="s">
        <v>139</v>
      </c>
      <c r="Q60" s="91" t="s">
        <v>139</v>
      </c>
      <c r="R60" s="88">
        <v>13420000</v>
      </c>
      <c r="S60" s="88">
        <v>0</v>
      </c>
      <c r="T60" s="88">
        <f t="shared" si="12"/>
        <v>13420000</v>
      </c>
      <c r="U60" s="204">
        <f t="shared" si="8"/>
        <v>95.85714285714285</v>
      </c>
      <c r="V60" s="8">
        <f t="shared" si="11"/>
        <v>580000</v>
      </c>
      <c r="W60" s="304">
        <f t="shared" si="10"/>
        <v>4.142857142857142</v>
      </c>
      <c r="X60" s="7"/>
      <c r="Y60" s="38"/>
      <c r="Z60" s="46"/>
      <c r="AA60" s="44"/>
      <c r="AB60" s="44"/>
      <c r="AC60" s="44"/>
      <c r="AD60" s="44"/>
      <c r="AE60" s="44"/>
      <c r="AF60" s="44"/>
      <c r="AG60" s="44"/>
      <c r="AH60" s="44"/>
      <c r="AI60" s="44"/>
    </row>
    <row r="61" spans="1:35" s="25" customFormat="1" ht="15" customHeight="1">
      <c r="A61" s="9"/>
      <c r="B61" s="266" t="s">
        <v>196</v>
      </c>
      <c r="C61" s="9" t="s">
        <v>215</v>
      </c>
      <c r="D61" s="5" t="s">
        <v>37</v>
      </c>
      <c r="E61" s="5" t="s">
        <v>306</v>
      </c>
      <c r="F61" s="5" t="s">
        <v>181</v>
      </c>
      <c r="G61" s="9" t="s">
        <v>28</v>
      </c>
      <c r="H61" s="5" t="s">
        <v>5</v>
      </c>
      <c r="I61" s="9"/>
      <c r="J61" s="265">
        <v>12000000</v>
      </c>
      <c r="K61" s="36"/>
      <c r="L61" s="37"/>
      <c r="M61" s="7" t="s">
        <v>221</v>
      </c>
      <c r="N61" s="112">
        <v>12000000</v>
      </c>
      <c r="O61" s="196">
        <f t="shared" si="13"/>
        <v>100</v>
      </c>
      <c r="P61" s="91" t="s">
        <v>139</v>
      </c>
      <c r="Q61" s="91" t="s">
        <v>139</v>
      </c>
      <c r="R61" s="88">
        <v>11550000</v>
      </c>
      <c r="S61" s="88">
        <v>0</v>
      </c>
      <c r="T61" s="88">
        <f t="shared" si="12"/>
        <v>11550000</v>
      </c>
      <c r="U61" s="204">
        <f t="shared" si="8"/>
        <v>96.25</v>
      </c>
      <c r="V61" s="8">
        <f t="shared" si="11"/>
        <v>450000</v>
      </c>
      <c r="W61" s="304">
        <f t="shared" si="10"/>
        <v>3.75</v>
      </c>
      <c r="X61" s="7"/>
      <c r="Y61" s="38"/>
      <c r="Z61" s="46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s="25" customFormat="1" ht="15" customHeight="1">
      <c r="A62" s="9"/>
      <c r="B62" s="266" t="s">
        <v>197</v>
      </c>
      <c r="C62" s="9" t="s">
        <v>216</v>
      </c>
      <c r="D62" s="5" t="s">
        <v>37</v>
      </c>
      <c r="E62" s="5" t="s">
        <v>306</v>
      </c>
      <c r="F62" s="5" t="s">
        <v>181</v>
      </c>
      <c r="G62" s="9" t="s">
        <v>28</v>
      </c>
      <c r="H62" s="5" t="s">
        <v>5</v>
      </c>
      <c r="I62" s="9"/>
      <c r="J62" s="265">
        <v>6468000</v>
      </c>
      <c r="K62" s="36"/>
      <c r="L62" s="37"/>
      <c r="M62" s="7" t="s">
        <v>221</v>
      </c>
      <c r="N62" s="112">
        <v>6468000</v>
      </c>
      <c r="O62" s="196">
        <f t="shared" si="13"/>
        <v>100</v>
      </c>
      <c r="P62" s="91" t="s">
        <v>139</v>
      </c>
      <c r="Q62" s="91" t="s">
        <v>139</v>
      </c>
      <c r="R62" s="88">
        <v>5841000</v>
      </c>
      <c r="S62" s="88">
        <v>0</v>
      </c>
      <c r="T62" s="88">
        <f t="shared" si="12"/>
        <v>5841000</v>
      </c>
      <c r="U62" s="204">
        <f t="shared" si="8"/>
        <v>90.3061224489796</v>
      </c>
      <c r="V62" s="8">
        <f t="shared" si="11"/>
        <v>627000</v>
      </c>
      <c r="W62" s="304">
        <f t="shared" si="10"/>
        <v>9.693877551020408</v>
      </c>
      <c r="X62" s="7"/>
      <c r="Y62" s="38"/>
      <c r="Z62" s="46"/>
      <c r="AA62" s="44"/>
      <c r="AB62" s="44"/>
      <c r="AC62" s="44"/>
      <c r="AD62" s="44"/>
      <c r="AE62" s="44"/>
      <c r="AF62" s="44"/>
      <c r="AG62" s="44"/>
      <c r="AH62" s="44"/>
      <c r="AI62" s="44"/>
    </row>
    <row r="63" spans="1:35" s="25" customFormat="1" ht="15" customHeight="1">
      <c r="A63" s="9"/>
      <c r="B63" s="266" t="s">
        <v>198</v>
      </c>
      <c r="C63" s="9" t="s">
        <v>217</v>
      </c>
      <c r="D63" s="5" t="s">
        <v>37</v>
      </c>
      <c r="E63" s="5" t="s">
        <v>306</v>
      </c>
      <c r="F63" s="5" t="s">
        <v>181</v>
      </c>
      <c r="G63" s="9" t="s">
        <v>28</v>
      </c>
      <c r="H63" s="5" t="s">
        <v>5</v>
      </c>
      <c r="I63" s="9"/>
      <c r="J63" s="265">
        <v>12000000</v>
      </c>
      <c r="K63" s="36"/>
      <c r="L63" s="37"/>
      <c r="M63" s="7" t="s">
        <v>221</v>
      </c>
      <c r="N63" s="112">
        <v>12000000</v>
      </c>
      <c r="O63" s="196">
        <f t="shared" si="13"/>
        <v>100</v>
      </c>
      <c r="P63" s="91" t="s">
        <v>139</v>
      </c>
      <c r="Q63" s="91" t="s">
        <v>139</v>
      </c>
      <c r="R63" s="88">
        <v>11550000</v>
      </c>
      <c r="S63" s="88">
        <v>0</v>
      </c>
      <c r="T63" s="88">
        <f t="shared" si="12"/>
        <v>11550000</v>
      </c>
      <c r="U63" s="204">
        <f t="shared" si="8"/>
        <v>96.25</v>
      </c>
      <c r="V63" s="8">
        <f t="shared" si="11"/>
        <v>450000</v>
      </c>
      <c r="W63" s="304">
        <f t="shared" si="10"/>
        <v>3.75</v>
      </c>
      <c r="X63" s="7"/>
      <c r="Y63" s="38"/>
      <c r="Z63" s="46"/>
      <c r="AA63" s="44"/>
      <c r="AB63" s="44"/>
      <c r="AC63" s="44"/>
      <c r="AD63" s="44"/>
      <c r="AE63" s="44"/>
      <c r="AF63" s="44"/>
      <c r="AG63" s="44"/>
      <c r="AH63" s="44"/>
      <c r="AI63" s="44"/>
    </row>
    <row r="64" spans="1:35" s="26" customFormat="1" ht="15" customHeight="1">
      <c r="A64" s="10"/>
      <c r="B64" s="267" t="s">
        <v>199</v>
      </c>
      <c r="C64" s="10" t="s">
        <v>218</v>
      </c>
      <c r="D64" s="102" t="s">
        <v>37</v>
      </c>
      <c r="E64" s="102" t="s">
        <v>306</v>
      </c>
      <c r="F64" s="102" t="s">
        <v>181</v>
      </c>
      <c r="G64" s="10" t="s">
        <v>28</v>
      </c>
      <c r="H64" s="102" t="s">
        <v>5</v>
      </c>
      <c r="I64" s="10"/>
      <c r="J64" s="264">
        <f>SUM(J65:J66)</f>
        <v>64500000</v>
      </c>
      <c r="K64" s="103"/>
      <c r="L64" s="104"/>
      <c r="M64" s="105"/>
      <c r="N64" s="110">
        <f>SUM(N65:N66)</f>
        <v>64500000</v>
      </c>
      <c r="O64" s="195">
        <f t="shared" si="13"/>
        <v>100</v>
      </c>
      <c r="P64" s="170" t="s">
        <v>139</v>
      </c>
      <c r="Q64" s="170" t="s">
        <v>139</v>
      </c>
      <c r="R64" s="89">
        <f>SUM(R65:R66)</f>
        <v>63690000</v>
      </c>
      <c r="S64" s="89">
        <v>0</v>
      </c>
      <c r="T64" s="89">
        <f t="shared" si="12"/>
        <v>63690000</v>
      </c>
      <c r="U64" s="204">
        <f t="shared" si="8"/>
        <v>98.74418604651163</v>
      </c>
      <c r="V64" s="86">
        <f>SUM(V65:V66)</f>
        <v>810000</v>
      </c>
      <c r="W64" s="303">
        <f t="shared" si="10"/>
        <v>1.255813953488372</v>
      </c>
      <c r="X64" s="105"/>
      <c r="Y64" s="106"/>
      <c r="Z64" s="45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s="25" customFormat="1" ht="15" customHeight="1">
      <c r="A65" s="9"/>
      <c r="B65" s="266" t="s">
        <v>200</v>
      </c>
      <c r="C65" s="9" t="s">
        <v>219</v>
      </c>
      <c r="D65" s="5" t="s">
        <v>37</v>
      </c>
      <c r="E65" s="5" t="s">
        <v>306</v>
      </c>
      <c r="F65" s="5" t="s">
        <v>181</v>
      </c>
      <c r="G65" s="9" t="s">
        <v>28</v>
      </c>
      <c r="H65" s="5" t="s">
        <v>5</v>
      </c>
      <c r="I65" s="9"/>
      <c r="J65" s="265">
        <v>60000000</v>
      </c>
      <c r="K65" s="36"/>
      <c r="L65" s="37"/>
      <c r="M65" s="7" t="s">
        <v>221</v>
      </c>
      <c r="N65" s="112">
        <v>60000000</v>
      </c>
      <c r="O65" s="196">
        <f t="shared" si="13"/>
        <v>100</v>
      </c>
      <c r="P65" s="91" t="s">
        <v>139</v>
      </c>
      <c r="Q65" s="91" t="s">
        <v>139</v>
      </c>
      <c r="R65" s="88">
        <v>59400000</v>
      </c>
      <c r="S65" s="88">
        <v>0</v>
      </c>
      <c r="T65" s="88">
        <f t="shared" si="12"/>
        <v>59400000</v>
      </c>
      <c r="U65" s="204">
        <f t="shared" si="8"/>
        <v>99</v>
      </c>
      <c r="V65" s="8">
        <f t="shared" si="11"/>
        <v>600000</v>
      </c>
      <c r="W65" s="304">
        <f t="shared" si="10"/>
        <v>1</v>
      </c>
      <c r="X65" s="7"/>
      <c r="Y65" s="38"/>
      <c r="Z65" s="46"/>
      <c r="AA65" s="44"/>
      <c r="AB65" s="44"/>
      <c r="AC65" s="44"/>
      <c r="AD65" s="44"/>
      <c r="AE65" s="44"/>
      <c r="AF65" s="44"/>
      <c r="AG65" s="44"/>
      <c r="AH65" s="44"/>
      <c r="AI65" s="44"/>
    </row>
    <row r="66" spans="1:35" s="25" customFormat="1" ht="15" customHeight="1">
      <c r="A66" s="9"/>
      <c r="B66" s="266" t="s">
        <v>201</v>
      </c>
      <c r="C66" s="9" t="s">
        <v>220</v>
      </c>
      <c r="D66" s="5" t="s">
        <v>37</v>
      </c>
      <c r="E66" s="5" t="s">
        <v>308</v>
      </c>
      <c r="F66" s="5" t="s">
        <v>181</v>
      </c>
      <c r="G66" s="9" t="s">
        <v>28</v>
      </c>
      <c r="H66" s="5" t="s">
        <v>5</v>
      </c>
      <c r="I66" s="9"/>
      <c r="J66" s="265">
        <v>4500000</v>
      </c>
      <c r="K66" s="36"/>
      <c r="L66" s="37"/>
      <c r="M66" s="7" t="s">
        <v>78</v>
      </c>
      <c r="N66" s="112">
        <v>4500000</v>
      </c>
      <c r="O66" s="196">
        <f t="shared" si="13"/>
        <v>100</v>
      </c>
      <c r="P66" s="91" t="s">
        <v>139</v>
      </c>
      <c r="Q66" s="91" t="s">
        <v>139</v>
      </c>
      <c r="R66" s="88">
        <v>4290000</v>
      </c>
      <c r="S66" s="88">
        <v>0</v>
      </c>
      <c r="T66" s="88">
        <f t="shared" si="12"/>
        <v>4290000</v>
      </c>
      <c r="U66" s="204">
        <f t="shared" si="8"/>
        <v>95.33333333333334</v>
      </c>
      <c r="V66" s="8">
        <f t="shared" si="11"/>
        <v>210000</v>
      </c>
      <c r="W66" s="304">
        <f t="shared" si="10"/>
        <v>4.666666666666667</v>
      </c>
      <c r="X66" s="7"/>
      <c r="Y66" s="38"/>
      <c r="Z66" s="46"/>
      <c r="AA66" s="44"/>
      <c r="AB66" s="44"/>
      <c r="AC66" s="44"/>
      <c r="AD66" s="44"/>
      <c r="AE66" s="44"/>
      <c r="AF66" s="44"/>
      <c r="AG66" s="44"/>
      <c r="AH66" s="44"/>
      <c r="AI66" s="44"/>
    </row>
    <row r="67" spans="1:35" s="26" customFormat="1" ht="15" customHeight="1">
      <c r="A67" s="10"/>
      <c r="B67" s="267" t="s">
        <v>93</v>
      </c>
      <c r="C67" s="10" t="s">
        <v>119</v>
      </c>
      <c r="D67" s="102" t="s">
        <v>37</v>
      </c>
      <c r="E67" s="102" t="s">
        <v>140</v>
      </c>
      <c r="F67" s="102" t="s">
        <v>181</v>
      </c>
      <c r="G67" s="10" t="s">
        <v>28</v>
      </c>
      <c r="H67" s="102" t="s">
        <v>5</v>
      </c>
      <c r="I67" s="10"/>
      <c r="J67" s="264">
        <f>SUM(J68:J69)</f>
        <v>1131346000</v>
      </c>
      <c r="K67" s="103"/>
      <c r="L67" s="104"/>
      <c r="M67" s="105"/>
      <c r="N67" s="110">
        <f>SUM(N68:N69)</f>
        <v>746950000</v>
      </c>
      <c r="O67" s="195">
        <f t="shared" si="13"/>
        <v>66.02312643523732</v>
      </c>
      <c r="P67" s="170" t="s">
        <v>139</v>
      </c>
      <c r="Q67" s="170" t="s">
        <v>139</v>
      </c>
      <c r="R67" s="89">
        <f>SUM(R68:R69)</f>
        <v>58957832</v>
      </c>
      <c r="S67" s="89">
        <f>SUM(S68:S69)</f>
        <v>340092264</v>
      </c>
      <c r="T67" s="89">
        <f t="shared" si="12"/>
        <v>399050096</v>
      </c>
      <c r="U67" s="204">
        <f t="shared" si="8"/>
        <v>35.27215334654474</v>
      </c>
      <c r="V67" s="86">
        <f>SUM(V68:V69)</f>
        <v>732295904</v>
      </c>
      <c r="W67" s="303">
        <f t="shared" si="10"/>
        <v>64.72784665345527</v>
      </c>
      <c r="X67" s="105"/>
      <c r="Y67" s="106"/>
      <c r="Z67" s="45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s="25" customFormat="1" ht="15" customHeight="1">
      <c r="A68" s="9"/>
      <c r="B68" s="266" t="s">
        <v>202</v>
      </c>
      <c r="C68" s="9" t="s">
        <v>120</v>
      </c>
      <c r="D68" s="5" t="s">
        <v>37</v>
      </c>
      <c r="E68" s="5" t="s">
        <v>140</v>
      </c>
      <c r="F68" s="5" t="s">
        <v>181</v>
      </c>
      <c r="G68" s="9" t="s">
        <v>28</v>
      </c>
      <c r="H68" s="5" t="s">
        <v>5</v>
      </c>
      <c r="I68" s="9"/>
      <c r="J68" s="265">
        <v>175100000</v>
      </c>
      <c r="K68" s="36"/>
      <c r="L68" s="37"/>
      <c r="M68" s="7" t="s">
        <v>78</v>
      </c>
      <c r="N68" s="112">
        <f>18362500+18362500+18362500+18362500+13500000</f>
        <v>86950000</v>
      </c>
      <c r="O68" s="196">
        <f t="shared" si="13"/>
        <v>49.657338663620784</v>
      </c>
      <c r="P68" s="91" t="s">
        <v>139</v>
      </c>
      <c r="Q68" s="91" t="s">
        <v>139</v>
      </c>
      <c r="R68" s="88">
        <v>23900000</v>
      </c>
      <c r="S68" s="88">
        <v>56170000</v>
      </c>
      <c r="T68" s="88">
        <f t="shared" si="12"/>
        <v>80070000</v>
      </c>
      <c r="U68" s="205">
        <f t="shared" si="8"/>
        <v>45.728155339805824</v>
      </c>
      <c r="V68" s="8">
        <f t="shared" si="11"/>
        <v>95030000</v>
      </c>
      <c r="W68" s="304">
        <f t="shared" si="10"/>
        <v>54.271844660194176</v>
      </c>
      <c r="X68" s="7"/>
      <c r="Y68" s="38"/>
      <c r="Z68" s="46"/>
      <c r="AA68" s="44"/>
      <c r="AB68" s="44"/>
      <c r="AC68" s="44"/>
      <c r="AD68" s="44"/>
      <c r="AE68" s="44"/>
      <c r="AF68" s="44"/>
      <c r="AG68" s="44"/>
      <c r="AH68" s="44"/>
      <c r="AI68" s="44"/>
    </row>
    <row r="69" spans="1:35" s="25" customFormat="1" ht="15" customHeight="1">
      <c r="A69" s="9"/>
      <c r="B69" s="266" t="s">
        <v>203</v>
      </c>
      <c r="C69" s="9" t="s">
        <v>121</v>
      </c>
      <c r="D69" s="5" t="s">
        <v>37</v>
      </c>
      <c r="E69" s="5" t="s">
        <v>140</v>
      </c>
      <c r="F69" s="5" t="s">
        <v>181</v>
      </c>
      <c r="G69" s="9" t="s">
        <v>28</v>
      </c>
      <c r="H69" s="5" t="s">
        <v>5</v>
      </c>
      <c r="I69" s="9"/>
      <c r="J69" s="265">
        <v>956246000</v>
      </c>
      <c r="K69" s="36"/>
      <c r="L69" s="37"/>
      <c r="M69" s="7" t="s">
        <v>78</v>
      </c>
      <c r="N69" s="112">
        <f>150000000+150000000+150000000+150000000+60000000</f>
        <v>660000000</v>
      </c>
      <c r="O69" s="196">
        <f t="shared" si="13"/>
        <v>69.01989655381566</v>
      </c>
      <c r="P69" s="91" t="s">
        <v>139</v>
      </c>
      <c r="Q69" s="91" t="s">
        <v>139</v>
      </c>
      <c r="R69" s="88">
        <v>35057832</v>
      </c>
      <c r="S69" s="88">
        <v>283922264</v>
      </c>
      <c r="T69" s="88">
        <f t="shared" si="12"/>
        <v>318980096</v>
      </c>
      <c r="U69" s="205">
        <f t="shared" si="8"/>
        <v>33.35753519491846</v>
      </c>
      <c r="V69" s="8">
        <f t="shared" si="11"/>
        <v>637265904</v>
      </c>
      <c r="W69" s="304">
        <f t="shared" si="10"/>
        <v>66.64246480508153</v>
      </c>
      <c r="X69" s="7"/>
      <c r="Y69" s="38"/>
      <c r="Z69" s="46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s="26" customFormat="1" ht="15" customHeight="1">
      <c r="A70" s="10"/>
      <c r="B70" s="267" t="s">
        <v>204</v>
      </c>
      <c r="C70" s="10" t="s">
        <v>122</v>
      </c>
      <c r="D70" s="102" t="s">
        <v>37</v>
      </c>
      <c r="E70" s="102" t="s">
        <v>140</v>
      </c>
      <c r="F70" s="102" t="s">
        <v>181</v>
      </c>
      <c r="G70" s="10" t="s">
        <v>28</v>
      </c>
      <c r="H70" s="102" t="s">
        <v>5</v>
      </c>
      <c r="I70" s="10"/>
      <c r="J70" s="264">
        <f>SUM(J71:J72)</f>
        <v>1006120000</v>
      </c>
      <c r="K70" s="103"/>
      <c r="L70" s="104"/>
      <c r="M70" s="105"/>
      <c r="N70" s="110">
        <f>SUM(N71:N72)</f>
        <v>422620000</v>
      </c>
      <c r="O70" s="195">
        <f t="shared" si="13"/>
        <v>42.0049298294438</v>
      </c>
      <c r="P70" s="170" t="s">
        <v>139</v>
      </c>
      <c r="Q70" s="170" t="s">
        <v>139</v>
      </c>
      <c r="R70" s="89">
        <f>R71+R72</f>
        <v>76900000</v>
      </c>
      <c r="S70" s="89">
        <f>S71+S72</f>
        <v>307665000</v>
      </c>
      <c r="T70" s="89">
        <f t="shared" si="12"/>
        <v>384565000</v>
      </c>
      <c r="U70" s="204">
        <f t="shared" si="8"/>
        <v>38.22257782371884</v>
      </c>
      <c r="V70" s="86">
        <f>SUM(V71:V72)</f>
        <v>621555000</v>
      </c>
      <c r="W70" s="303">
        <f t="shared" si="10"/>
        <v>61.77742217628116</v>
      </c>
      <c r="X70" s="105"/>
      <c r="Y70" s="106"/>
      <c r="Z70" s="45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25" customFormat="1" ht="15" customHeight="1">
      <c r="A71" s="9"/>
      <c r="B71" s="266" t="s">
        <v>205</v>
      </c>
      <c r="C71" s="9" t="s">
        <v>123</v>
      </c>
      <c r="D71" s="5" t="s">
        <v>37</v>
      </c>
      <c r="E71" s="5" t="s">
        <v>140</v>
      </c>
      <c r="F71" s="5" t="s">
        <v>181</v>
      </c>
      <c r="G71" s="9" t="s">
        <v>28</v>
      </c>
      <c r="H71" s="5" t="s">
        <v>5</v>
      </c>
      <c r="I71" s="9"/>
      <c r="J71" s="265">
        <v>940800000</v>
      </c>
      <c r="K71" s="36"/>
      <c r="L71" s="37"/>
      <c r="M71" s="7" t="s">
        <v>78</v>
      </c>
      <c r="N71" s="112">
        <f>78800000+78800000+78400000+78400000+78400000</f>
        <v>392800000</v>
      </c>
      <c r="O71" s="196">
        <f t="shared" si="13"/>
        <v>41.75170068027211</v>
      </c>
      <c r="P71" s="91" t="s">
        <v>139</v>
      </c>
      <c r="Q71" s="91" t="s">
        <v>139</v>
      </c>
      <c r="R71" s="88">
        <v>76900000</v>
      </c>
      <c r="S71" s="88">
        <v>291000000</v>
      </c>
      <c r="T71" s="88">
        <f t="shared" si="12"/>
        <v>367900000</v>
      </c>
      <c r="U71" s="205">
        <f t="shared" si="8"/>
        <v>39.105017006802726</v>
      </c>
      <c r="V71" s="8">
        <f t="shared" si="11"/>
        <v>572900000</v>
      </c>
      <c r="W71" s="304">
        <f t="shared" si="10"/>
        <v>60.894982993197274</v>
      </c>
      <c r="X71" s="7"/>
      <c r="Y71" s="38"/>
      <c r="Z71" s="46"/>
      <c r="AA71" s="44"/>
      <c r="AB71" s="44"/>
      <c r="AC71" s="44"/>
      <c r="AD71" s="44"/>
      <c r="AE71" s="44"/>
      <c r="AF71" s="44"/>
      <c r="AG71" s="44"/>
      <c r="AH71" s="44"/>
      <c r="AI71" s="44"/>
    </row>
    <row r="72" spans="1:35" s="25" customFormat="1" ht="15" customHeight="1">
      <c r="A72" s="208"/>
      <c r="B72" s="266" t="s">
        <v>95</v>
      </c>
      <c r="C72" s="268" t="s">
        <v>124</v>
      </c>
      <c r="D72" s="5" t="s">
        <v>37</v>
      </c>
      <c r="E72" s="5" t="s">
        <v>140</v>
      </c>
      <c r="F72" s="5" t="s">
        <v>181</v>
      </c>
      <c r="G72" s="9" t="s">
        <v>28</v>
      </c>
      <c r="H72" s="5" t="s">
        <v>5</v>
      </c>
      <c r="I72" s="269"/>
      <c r="J72" s="265">
        <v>65320000</v>
      </c>
      <c r="K72" s="269"/>
      <c r="L72" s="269"/>
      <c r="M72" s="7" t="s">
        <v>78</v>
      </c>
      <c r="N72" s="209">
        <f>8344000+8344000+4132000+4500000+4500000</f>
        <v>29820000</v>
      </c>
      <c r="O72" s="196">
        <f t="shared" si="13"/>
        <v>45.65217391304348</v>
      </c>
      <c r="P72" s="91" t="s">
        <v>139</v>
      </c>
      <c r="Q72" s="91" t="s">
        <v>139</v>
      </c>
      <c r="R72" s="88"/>
      <c r="S72" s="88">
        <v>16665000</v>
      </c>
      <c r="T72" s="88">
        <f t="shared" si="12"/>
        <v>16665000</v>
      </c>
      <c r="U72" s="205">
        <f t="shared" si="8"/>
        <v>25.51285976729945</v>
      </c>
      <c r="V72" s="8">
        <f t="shared" si="11"/>
        <v>48655000</v>
      </c>
      <c r="W72" s="304">
        <f t="shared" si="10"/>
        <v>74.48714023270055</v>
      </c>
      <c r="X72" s="7"/>
      <c r="Y72" s="38"/>
      <c r="Z72" s="46"/>
      <c r="AA72" s="44"/>
      <c r="AB72" s="44"/>
      <c r="AC72" s="44"/>
      <c r="AD72" s="44"/>
      <c r="AE72" s="44"/>
      <c r="AF72" s="44"/>
      <c r="AG72" s="44"/>
      <c r="AH72" s="44"/>
      <c r="AI72" s="44"/>
    </row>
    <row r="73" spans="1:35" s="26" customFormat="1" ht="13.5">
      <c r="A73" s="348" t="s">
        <v>19</v>
      </c>
      <c r="B73" s="352" t="s">
        <v>17</v>
      </c>
      <c r="C73" s="350"/>
      <c r="D73" s="350"/>
      <c r="E73" s="350"/>
      <c r="F73" s="350"/>
      <c r="G73" s="350"/>
      <c r="H73" s="350"/>
      <c r="I73" s="350"/>
      <c r="J73" s="351">
        <f>J75</f>
        <v>1450152000</v>
      </c>
      <c r="K73" s="351"/>
      <c r="L73" s="351"/>
      <c r="M73" s="351"/>
      <c r="N73" s="353">
        <f>N75</f>
        <v>769297500</v>
      </c>
      <c r="O73" s="355"/>
      <c r="P73" s="351"/>
      <c r="Q73" s="351"/>
      <c r="R73" s="353">
        <f>R75</f>
        <v>119543110</v>
      </c>
      <c r="S73" s="353">
        <f>S75</f>
        <v>279351630</v>
      </c>
      <c r="T73" s="353">
        <f>T75</f>
        <v>397894740</v>
      </c>
      <c r="U73" s="357">
        <f>T73/J73*100</f>
        <v>27.43814027770882</v>
      </c>
      <c r="V73" s="351">
        <f>V75</f>
        <v>1052257260</v>
      </c>
      <c r="W73" s="357">
        <f>T73/J73*100</f>
        <v>27.43814027770882</v>
      </c>
      <c r="X73" s="351"/>
      <c r="Y73" s="106"/>
      <c r="Z73" s="45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s="26" customFormat="1" ht="12" customHeight="1">
      <c r="A74" s="348"/>
      <c r="B74" s="352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54"/>
      <c r="O74" s="356"/>
      <c r="P74" s="348"/>
      <c r="Q74" s="348"/>
      <c r="R74" s="354"/>
      <c r="S74" s="354"/>
      <c r="T74" s="354"/>
      <c r="U74" s="358"/>
      <c r="V74" s="348"/>
      <c r="W74" s="358"/>
      <c r="X74" s="348"/>
      <c r="Y74" s="52"/>
      <c r="Z74" s="45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s="140" customFormat="1" ht="27.75" customHeight="1">
      <c r="A75" s="142"/>
      <c r="B75" s="143" t="s">
        <v>96</v>
      </c>
      <c r="C75" s="144" t="s">
        <v>125</v>
      </c>
      <c r="D75" s="132" t="s">
        <v>37</v>
      </c>
      <c r="E75" s="132" t="s">
        <v>140</v>
      </c>
      <c r="F75" s="132" t="s">
        <v>75</v>
      </c>
      <c r="G75" s="130" t="s">
        <v>28</v>
      </c>
      <c r="H75" s="132" t="s">
        <v>5</v>
      </c>
      <c r="I75" s="142"/>
      <c r="J75" s="145">
        <f>J76+J83</f>
        <v>1450152000</v>
      </c>
      <c r="K75" s="142"/>
      <c r="L75" s="142"/>
      <c r="M75" s="142"/>
      <c r="N75" s="146">
        <f>N76+N83</f>
        <v>769297500</v>
      </c>
      <c r="O75" s="197"/>
      <c r="P75" s="142"/>
      <c r="Q75" s="142"/>
      <c r="R75" s="146">
        <f>R76+R83</f>
        <v>119543110</v>
      </c>
      <c r="S75" s="146">
        <f>S76+S83</f>
        <v>279351630</v>
      </c>
      <c r="T75" s="146">
        <f>T76+T83</f>
        <v>397894740</v>
      </c>
      <c r="U75" s="190">
        <f aca="true" t="shared" si="14" ref="U75:U102">T75/J75*100</f>
        <v>27.43814027770882</v>
      </c>
      <c r="V75" s="174">
        <f>V76+V83</f>
        <v>1052257260</v>
      </c>
      <c r="W75" s="190">
        <f>T75/J75*100</f>
        <v>27.43814027770882</v>
      </c>
      <c r="X75" s="142"/>
      <c r="Y75" s="41"/>
      <c r="Z75" s="45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s="126" customFormat="1" ht="15" customHeight="1">
      <c r="A76" s="147"/>
      <c r="B76" s="129" t="s">
        <v>83</v>
      </c>
      <c r="C76" s="161"/>
      <c r="D76" s="120"/>
      <c r="E76" s="120"/>
      <c r="F76" s="120"/>
      <c r="G76" s="118"/>
      <c r="H76" s="120"/>
      <c r="I76" s="147"/>
      <c r="J76" s="162">
        <f>J77+J79+J81</f>
        <v>29124000</v>
      </c>
      <c r="K76" s="162"/>
      <c r="L76" s="162"/>
      <c r="M76" s="162"/>
      <c r="N76" s="162">
        <f aca="true" t="shared" si="15" ref="N76:T76">N77+N79+N81</f>
        <v>12135000</v>
      </c>
      <c r="O76" s="211"/>
      <c r="P76" s="162"/>
      <c r="Q76" s="162"/>
      <c r="R76" s="148">
        <f t="shared" si="15"/>
        <v>1350000</v>
      </c>
      <c r="S76" s="148">
        <f t="shared" si="15"/>
        <v>1350000</v>
      </c>
      <c r="T76" s="148">
        <f t="shared" si="15"/>
        <v>2700000</v>
      </c>
      <c r="U76" s="212">
        <f t="shared" si="14"/>
        <v>9.270704573547588</v>
      </c>
      <c r="V76" s="162">
        <f>V77+V79+V81</f>
        <v>26424000</v>
      </c>
      <c r="W76" s="212">
        <f>V76/J76*100</f>
        <v>90.72929542645241</v>
      </c>
      <c r="X76" s="162"/>
      <c r="Y76" s="41"/>
      <c r="Z76" s="45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26" s="43" customFormat="1" ht="15" customHeight="1">
      <c r="A77" s="29"/>
      <c r="B77" s="96" t="s">
        <v>149</v>
      </c>
      <c r="C77" s="163">
        <v>1001</v>
      </c>
      <c r="D77" s="107" t="s">
        <v>76</v>
      </c>
      <c r="E77" s="107" t="s">
        <v>140</v>
      </c>
      <c r="F77" s="107" t="s">
        <v>75</v>
      </c>
      <c r="G77" s="108" t="s">
        <v>28</v>
      </c>
      <c r="H77" s="107" t="s">
        <v>5</v>
      </c>
      <c r="I77" s="29"/>
      <c r="J77" s="243">
        <f>J78</f>
        <v>8100000</v>
      </c>
      <c r="K77" s="29"/>
      <c r="L77" s="29"/>
      <c r="M77" s="29"/>
      <c r="N77" s="90">
        <f>N78</f>
        <v>3375000</v>
      </c>
      <c r="O77" s="200">
        <f aca="true" t="shared" si="16" ref="O77:O82">N77/J77*100</f>
        <v>41.66666666666667</v>
      </c>
      <c r="P77" s="90" t="str">
        <f>P78</f>
        <v>jan</v>
      </c>
      <c r="Q77" s="90" t="s">
        <v>321</v>
      </c>
      <c r="R77" s="90">
        <f>R78</f>
        <v>1350000</v>
      </c>
      <c r="S77" s="90">
        <f>S78</f>
        <v>1350000</v>
      </c>
      <c r="T77" s="90">
        <f>T78</f>
        <v>2700000</v>
      </c>
      <c r="U77" s="160">
        <f t="shared" si="14"/>
        <v>33.33333333333333</v>
      </c>
      <c r="V77" s="90">
        <f>V78</f>
        <v>5400000</v>
      </c>
      <c r="W77" s="164">
        <f aca="true" t="shared" si="17" ref="W77:W82">V77/J77*100</f>
        <v>66.66666666666666</v>
      </c>
      <c r="X77" s="90"/>
      <c r="Y77" s="41"/>
      <c r="Z77" s="45"/>
    </row>
    <row r="78" spans="1:26" s="44" customFormat="1" ht="12.75" customHeight="1">
      <c r="A78" s="27"/>
      <c r="B78" s="6" t="s">
        <v>148</v>
      </c>
      <c r="C78" s="35" t="s">
        <v>147</v>
      </c>
      <c r="D78" s="84" t="s">
        <v>76</v>
      </c>
      <c r="E78" s="84" t="s">
        <v>140</v>
      </c>
      <c r="F78" s="84" t="s">
        <v>75</v>
      </c>
      <c r="G78" s="87" t="s">
        <v>28</v>
      </c>
      <c r="H78" s="84" t="s">
        <v>5</v>
      </c>
      <c r="I78" s="27"/>
      <c r="J78" s="248">
        <v>8100000</v>
      </c>
      <c r="K78" s="27"/>
      <c r="L78" s="27"/>
      <c r="M78" s="27" t="s">
        <v>78</v>
      </c>
      <c r="N78" s="149">
        <f>675000+675000+675000+675000+675000</f>
        <v>3375000</v>
      </c>
      <c r="O78" s="200">
        <f t="shared" si="16"/>
        <v>41.66666666666667</v>
      </c>
      <c r="P78" s="91" t="s">
        <v>139</v>
      </c>
      <c r="Q78" s="91" t="s">
        <v>321</v>
      </c>
      <c r="R78" s="149">
        <v>1350000</v>
      </c>
      <c r="S78" s="149">
        <v>1350000</v>
      </c>
      <c r="T78" s="149">
        <f>R78+S78</f>
        <v>2700000</v>
      </c>
      <c r="U78" s="164">
        <f t="shared" si="14"/>
        <v>33.33333333333333</v>
      </c>
      <c r="V78" s="149">
        <f>J78-T78</f>
        <v>5400000</v>
      </c>
      <c r="W78" s="164">
        <f t="shared" si="17"/>
        <v>66.66666666666666</v>
      </c>
      <c r="X78" s="27"/>
      <c r="Y78" s="165"/>
      <c r="Z78" s="46"/>
    </row>
    <row r="79" spans="1:26" s="43" customFormat="1" ht="12.75" customHeight="1">
      <c r="A79" s="29"/>
      <c r="B79" s="242" t="s">
        <v>222</v>
      </c>
      <c r="C79" s="210" t="s">
        <v>225</v>
      </c>
      <c r="D79" s="107" t="s">
        <v>76</v>
      </c>
      <c r="E79" s="107" t="s">
        <v>140</v>
      </c>
      <c r="F79" s="107" t="s">
        <v>75</v>
      </c>
      <c r="G79" s="108" t="s">
        <v>28</v>
      </c>
      <c r="H79" s="107" t="s">
        <v>5</v>
      </c>
      <c r="I79" s="29"/>
      <c r="J79" s="243">
        <f>J80</f>
        <v>18000000</v>
      </c>
      <c r="K79" s="29"/>
      <c r="L79" s="29"/>
      <c r="M79" s="29"/>
      <c r="N79" s="90">
        <f>N80</f>
        <v>7500000</v>
      </c>
      <c r="O79" s="200">
        <f t="shared" si="16"/>
        <v>41.66666666666667</v>
      </c>
      <c r="P79" s="90" t="str">
        <f aca="true" t="shared" si="18" ref="P79:V79">P80</f>
        <v>jan</v>
      </c>
      <c r="Q79" s="90" t="s">
        <v>321</v>
      </c>
      <c r="R79" s="90">
        <f t="shared" si="18"/>
        <v>0</v>
      </c>
      <c r="S79" s="90">
        <f t="shared" si="18"/>
        <v>0</v>
      </c>
      <c r="T79" s="90">
        <f t="shared" si="18"/>
        <v>0</v>
      </c>
      <c r="U79" s="164">
        <f t="shared" si="14"/>
        <v>0</v>
      </c>
      <c r="V79" s="90">
        <f t="shared" si="18"/>
        <v>18000000</v>
      </c>
      <c r="W79" s="164">
        <f t="shared" si="17"/>
        <v>100</v>
      </c>
      <c r="X79" s="90"/>
      <c r="Y79" s="41"/>
      <c r="Z79" s="45"/>
    </row>
    <row r="80" spans="1:26" s="44" customFormat="1" ht="12.75" customHeight="1">
      <c r="A80" s="27"/>
      <c r="B80" s="247" t="s">
        <v>223</v>
      </c>
      <c r="C80" s="35" t="s">
        <v>226</v>
      </c>
      <c r="D80" s="84" t="s">
        <v>76</v>
      </c>
      <c r="E80" s="84" t="s">
        <v>140</v>
      </c>
      <c r="F80" s="84" t="s">
        <v>75</v>
      </c>
      <c r="G80" s="87" t="s">
        <v>28</v>
      </c>
      <c r="H80" s="84" t="s">
        <v>5</v>
      </c>
      <c r="I80" s="27"/>
      <c r="J80" s="248">
        <v>18000000</v>
      </c>
      <c r="K80" s="27"/>
      <c r="L80" s="27"/>
      <c r="M80" s="27" t="s">
        <v>78</v>
      </c>
      <c r="N80" s="149">
        <f>1500000+1500000+1500000+1500000+1500000</f>
        <v>7500000</v>
      </c>
      <c r="O80" s="200">
        <f t="shared" si="16"/>
        <v>41.66666666666667</v>
      </c>
      <c r="P80" s="91" t="s">
        <v>139</v>
      </c>
      <c r="Q80" s="91" t="s">
        <v>320</v>
      </c>
      <c r="R80" s="149"/>
      <c r="S80" s="149"/>
      <c r="T80" s="149"/>
      <c r="U80" s="164">
        <f t="shared" si="14"/>
        <v>0</v>
      </c>
      <c r="V80" s="149">
        <f>J80-T80</f>
        <v>18000000</v>
      </c>
      <c r="W80" s="164">
        <f t="shared" si="17"/>
        <v>100</v>
      </c>
      <c r="X80" s="27"/>
      <c r="Y80" s="165"/>
      <c r="Z80" s="46"/>
    </row>
    <row r="81" spans="1:26" s="43" customFormat="1" ht="12.75" customHeight="1">
      <c r="A81" s="29"/>
      <c r="B81" s="242" t="s">
        <v>160</v>
      </c>
      <c r="C81" s="210" t="s">
        <v>227</v>
      </c>
      <c r="D81" s="107" t="s">
        <v>76</v>
      </c>
      <c r="E81" s="107" t="s">
        <v>140</v>
      </c>
      <c r="F81" s="107" t="s">
        <v>75</v>
      </c>
      <c r="G81" s="108" t="s">
        <v>28</v>
      </c>
      <c r="H81" s="107" t="s">
        <v>5</v>
      </c>
      <c r="I81" s="29"/>
      <c r="J81" s="243">
        <f>J82</f>
        <v>3024000</v>
      </c>
      <c r="K81" s="29"/>
      <c r="L81" s="29"/>
      <c r="M81" s="29"/>
      <c r="N81" s="90">
        <f>N82</f>
        <v>1260000</v>
      </c>
      <c r="O81" s="200">
        <f t="shared" si="16"/>
        <v>41.66666666666667</v>
      </c>
      <c r="P81" s="90" t="str">
        <f aca="true" t="shared" si="19" ref="P81:V81">P82</f>
        <v>jan</v>
      </c>
      <c r="Q81" s="90" t="s">
        <v>320</v>
      </c>
      <c r="R81" s="90">
        <f t="shared" si="19"/>
        <v>0</v>
      </c>
      <c r="S81" s="90">
        <f t="shared" si="19"/>
        <v>0</v>
      </c>
      <c r="T81" s="90">
        <f t="shared" si="19"/>
        <v>0</v>
      </c>
      <c r="U81" s="164">
        <f t="shared" si="14"/>
        <v>0</v>
      </c>
      <c r="V81" s="90">
        <f t="shared" si="19"/>
        <v>3024000</v>
      </c>
      <c r="W81" s="164">
        <f t="shared" si="17"/>
        <v>100</v>
      </c>
      <c r="X81" s="90"/>
      <c r="Y81" s="41"/>
      <c r="Z81" s="45"/>
    </row>
    <row r="82" spans="1:26" s="44" customFormat="1" ht="12.75" customHeight="1">
      <c r="A82" s="27"/>
      <c r="B82" s="247" t="s">
        <v>224</v>
      </c>
      <c r="C82" s="35" t="s">
        <v>207</v>
      </c>
      <c r="D82" s="84" t="s">
        <v>76</v>
      </c>
      <c r="E82" s="84" t="s">
        <v>140</v>
      </c>
      <c r="F82" s="84" t="s">
        <v>75</v>
      </c>
      <c r="G82" s="87" t="s">
        <v>28</v>
      </c>
      <c r="H82" s="84" t="s">
        <v>5</v>
      </c>
      <c r="I82" s="27"/>
      <c r="J82" s="248">
        <v>3024000</v>
      </c>
      <c r="K82" s="27"/>
      <c r="L82" s="27"/>
      <c r="M82" s="27" t="s">
        <v>78</v>
      </c>
      <c r="N82" s="149">
        <f>252000+252000+252000+252000+252000</f>
        <v>1260000</v>
      </c>
      <c r="O82" s="200">
        <f t="shared" si="16"/>
        <v>41.66666666666667</v>
      </c>
      <c r="P82" s="91" t="s">
        <v>139</v>
      </c>
      <c r="Q82" s="91" t="s">
        <v>320</v>
      </c>
      <c r="R82" s="149"/>
      <c r="S82" s="149"/>
      <c r="T82" s="149"/>
      <c r="U82" s="164">
        <f t="shared" si="14"/>
        <v>0</v>
      </c>
      <c r="V82" s="181">
        <f>J82-T82</f>
        <v>3024000</v>
      </c>
      <c r="W82" s="164">
        <f t="shared" si="17"/>
        <v>100</v>
      </c>
      <c r="X82" s="27"/>
      <c r="Y82" s="165"/>
      <c r="Z82" s="46"/>
    </row>
    <row r="83" spans="1:35" s="126" customFormat="1" ht="16.5" customHeight="1">
      <c r="A83" s="118"/>
      <c r="B83" s="127" t="s">
        <v>79</v>
      </c>
      <c r="C83" s="118"/>
      <c r="D83" s="120"/>
      <c r="E83" s="120"/>
      <c r="F83" s="120"/>
      <c r="G83" s="118"/>
      <c r="H83" s="120"/>
      <c r="I83" s="118" t="s">
        <v>28</v>
      </c>
      <c r="J83" s="121">
        <f>J84+J86+J89+J92+J94+J100</f>
        <v>1421028000</v>
      </c>
      <c r="K83" s="121"/>
      <c r="L83" s="121"/>
      <c r="M83" s="121"/>
      <c r="N83" s="121">
        <f aca="true" t="shared" si="20" ref="N83:V83">N84+N86+N89+N92+N94+N100</f>
        <v>757162500</v>
      </c>
      <c r="O83" s="299">
        <f>N83/J83*100</f>
        <v>53.28272912286035</v>
      </c>
      <c r="P83" s="121"/>
      <c r="Q83" s="121"/>
      <c r="R83" s="123">
        <f t="shared" si="20"/>
        <v>118193110</v>
      </c>
      <c r="S83" s="123">
        <f t="shared" si="20"/>
        <v>278001630</v>
      </c>
      <c r="T83" s="123">
        <f>T84+T86+T89+T92+T94+T100</f>
        <v>395194740</v>
      </c>
      <c r="U83" s="300">
        <f t="shared" si="14"/>
        <v>27.810482270581577</v>
      </c>
      <c r="V83" s="121">
        <f>V84+V86+V89+V92+V94+V100</f>
        <v>1025833260</v>
      </c>
      <c r="W83" s="300">
        <f>V83/J83*100</f>
        <v>72.18951772941841</v>
      </c>
      <c r="X83" s="121"/>
      <c r="Y83" s="41"/>
      <c r="Z83" s="45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s="26" customFormat="1" ht="13.5">
      <c r="A84" s="10"/>
      <c r="B84" s="83" t="s">
        <v>97</v>
      </c>
      <c r="C84" s="10" t="s">
        <v>126</v>
      </c>
      <c r="D84" s="102" t="s">
        <v>37</v>
      </c>
      <c r="E84" s="102" t="s">
        <v>140</v>
      </c>
      <c r="F84" s="84" t="s">
        <v>75</v>
      </c>
      <c r="G84" s="10" t="s">
        <v>28</v>
      </c>
      <c r="H84" s="102" t="s">
        <v>5</v>
      </c>
      <c r="I84" s="10"/>
      <c r="J84" s="98">
        <f>J85</f>
        <v>844000000</v>
      </c>
      <c r="K84" s="98"/>
      <c r="L84" s="98"/>
      <c r="M84" s="98"/>
      <c r="N84" s="98">
        <f>N85</f>
        <v>505987500</v>
      </c>
      <c r="O84" s="195">
        <f>N84/J84*100</f>
        <v>59.951125592417064</v>
      </c>
      <c r="P84" s="170" t="s">
        <v>139</v>
      </c>
      <c r="Q84" s="170" t="s">
        <v>321</v>
      </c>
      <c r="R84" s="109">
        <f>R85</f>
        <v>30178110</v>
      </c>
      <c r="S84" s="109">
        <f>S85</f>
        <v>185331630</v>
      </c>
      <c r="T84" s="109">
        <f>T85</f>
        <v>215509740</v>
      </c>
      <c r="U84" s="307">
        <f t="shared" si="14"/>
        <v>25.534329383886256</v>
      </c>
      <c r="V84" s="176">
        <f>V85</f>
        <v>628490260</v>
      </c>
      <c r="W84" s="191">
        <f>V84/J84*100</f>
        <v>74.46567061611374</v>
      </c>
      <c r="X84" s="105"/>
      <c r="Y84" s="106"/>
      <c r="Z84" s="45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s="25" customFormat="1" ht="13.5">
      <c r="A85" s="9"/>
      <c r="B85" s="34" t="s">
        <v>98</v>
      </c>
      <c r="C85" s="9" t="s">
        <v>127</v>
      </c>
      <c r="D85" s="5" t="s">
        <v>37</v>
      </c>
      <c r="E85" s="5" t="s">
        <v>140</v>
      </c>
      <c r="F85" s="84" t="s">
        <v>75</v>
      </c>
      <c r="G85" s="9" t="s">
        <v>28</v>
      </c>
      <c r="H85" s="5" t="s">
        <v>5</v>
      </c>
      <c r="I85" s="9" t="s">
        <v>28</v>
      </c>
      <c r="J85" s="11">
        <v>844000000</v>
      </c>
      <c r="K85" s="82"/>
      <c r="L85" s="37"/>
      <c r="M85" s="7" t="s">
        <v>78</v>
      </c>
      <c r="N85" s="112">
        <f>114425000+114425000+114425000+114425000+48287500</f>
        <v>505987500</v>
      </c>
      <c r="O85" s="196">
        <f aca="true" t="shared" si="21" ref="O85:O102">N85/J85*100</f>
        <v>59.951125592417064</v>
      </c>
      <c r="P85" s="91" t="s">
        <v>139</v>
      </c>
      <c r="Q85" s="91" t="s">
        <v>321</v>
      </c>
      <c r="R85" s="12">
        <v>30178110</v>
      </c>
      <c r="S85" s="12">
        <v>185331630</v>
      </c>
      <c r="T85" s="12">
        <f>R85+S85</f>
        <v>215509740</v>
      </c>
      <c r="U85" s="191">
        <f t="shared" si="14"/>
        <v>25.534329383886256</v>
      </c>
      <c r="V85" s="181">
        <f>J85-T85</f>
        <v>628490260</v>
      </c>
      <c r="W85" s="191">
        <f aca="true" t="shared" si="22" ref="W85:W102">V85/J85*100</f>
        <v>74.46567061611374</v>
      </c>
      <c r="X85" s="7"/>
      <c r="Y85" s="38"/>
      <c r="Z85" s="46"/>
      <c r="AA85" s="44"/>
      <c r="AB85" s="44"/>
      <c r="AC85" s="44"/>
      <c r="AD85" s="44"/>
      <c r="AE85" s="44"/>
      <c r="AF85" s="44"/>
      <c r="AG85" s="44"/>
      <c r="AH85" s="44"/>
      <c r="AI85" s="44"/>
    </row>
    <row r="86" spans="1:35" s="26" customFormat="1" ht="13.5">
      <c r="A86" s="10"/>
      <c r="B86" s="28" t="s">
        <v>94</v>
      </c>
      <c r="C86" s="10" t="s">
        <v>122</v>
      </c>
      <c r="D86" s="102" t="s">
        <v>37</v>
      </c>
      <c r="E86" s="102" t="s">
        <v>140</v>
      </c>
      <c r="F86" s="84" t="s">
        <v>75</v>
      </c>
      <c r="G86" s="10" t="s">
        <v>28</v>
      </c>
      <c r="H86" s="102" t="s">
        <v>5</v>
      </c>
      <c r="I86" s="10"/>
      <c r="J86" s="98">
        <f>J87+J88</f>
        <v>282178000</v>
      </c>
      <c r="K86" s="98"/>
      <c r="L86" s="98"/>
      <c r="M86" s="98"/>
      <c r="N86" s="98">
        <f>N87+N88</f>
        <v>98070000</v>
      </c>
      <c r="O86" s="195">
        <f t="shared" si="21"/>
        <v>34.754658407104735</v>
      </c>
      <c r="P86" s="170" t="s">
        <v>139</v>
      </c>
      <c r="Q86" s="170" t="s">
        <v>321</v>
      </c>
      <c r="R86" s="109">
        <f>R87</f>
        <v>19500000</v>
      </c>
      <c r="S86" s="109">
        <f>S87</f>
        <v>73500000</v>
      </c>
      <c r="T86" s="109">
        <f>T87</f>
        <v>93000000</v>
      </c>
      <c r="U86" s="307">
        <f t="shared" si="14"/>
        <v>32.95792017804365</v>
      </c>
      <c r="V86" s="176">
        <f>V88+V87</f>
        <v>189178000</v>
      </c>
      <c r="W86" s="191">
        <f>V86/J86*100</f>
        <v>67.04207982195636</v>
      </c>
      <c r="X86" s="105"/>
      <c r="Y86" s="106"/>
      <c r="Z86" s="45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s="25" customFormat="1" ht="13.5">
      <c r="A87" s="9"/>
      <c r="B87" s="34" t="s">
        <v>99</v>
      </c>
      <c r="C87" s="9" t="s">
        <v>123</v>
      </c>
      <c r="D87" s="5" t="s">
        <v>37</v>
      </c>
      <c r="E87" s="5" t="s">
        <v>140</v>
      </c>
      <c r="F87" s="84" t="s">
        <v>75</v>
      </c>
      <c r="G87" s="9" t="s">
        <v>28</v>
      </c>
      <c r="H87" s="5" t="s">
        <v>5</v>
      </c>
      <c r="I87" s="9"/>
      <c r="J87" s="11">
        <v>234000000</v>
      </c>
      <c r="K87" s="82"/>
      <c r="L87" s="37"/>
      <c r="M87" s="7" t="s">
        <v>78</v>
      </c>
      <c r="N87" s="112">
        <f>19500000+19500000+19500000+19500000</f>
        <v>78000000</v>
      </c>
      <c r="O87" s="196">
        <f t="shared" si="21"/>
        <v>33.33333333333333</v>
      </c>
      <c r="P87" s="91" t="s">
        <v>139</v>
      </c>
      <c r="Q87" s="91" t="s">
        <v>321</v>
      </c>
      <c r="R87" s="12">
        <v>19500000</v>
      </c>
      <c r="S87" s="12">
        <v>73500000</v>
      </c>
      <c r="T87" s="12">
        <f>R87+S87</f>
        <v>93000000</v>
      </c>
      <c r="U87" s="191">
        <f t="shared" si="14"/>
        <v>39.743589743589745</v>
      </c>
      <c r="V87" s="181">
        <f>J87-T87</f>
        <v>141000000</v>
      </c>
      <c r="W87" s="191">
        <f t="shared" si="22"/>
        <v>60.256410256410255</v>
      </c>
      <c r="X87" s="7"/>
      <c r="Y87" s="38"/>
      <c r="Z87" s="46"/>
      <c r="AA87" s="44"/>
      <c r="AB87" s="44"/>
      <c r="AC87" s="44"/>
      <c r="AD87" s="44"/>
      <c r="AE87" s="44"/>
      <c r="AF87" s="44"/>
      <c r="AG87" s="44"/>
      <c r="AH87" s="44"/>
      <c r="AI87" s="44"/>
    </row>
    <row r="88" spans="1:35" s="25" customFormat="1" ht="13.5">
      <c r="A88" s="9"/>
      <c r="B88" s="34" t="s">
        <v>95</v>
      </c>
      <c r="C88" s="9" t="s">
        <v>124</v>
      </c>
      <c r="D88" s="5" t="s">
        <v>37</v>
      </c>
      <c r="E88" s="5" t="s">
        <v>140</v>
      </c>
      <c r="F88" s="84" t="s">
        <v>75</v>
      </c>
      <c r="G88" s="9" t="s">
        <v>28</v>
      </c>
      <c r="H88" s="5" t="s">
        <v>5</v>
      </c>
      <c r="I88" s="9"/>
      <c r="J88" s="11">
        <v>48178000</v>
      </c>
      <c r="K88" s="82"/>
      <c r="L88" s="37"/>
      <c r="M88" s="7" t="s">
        <v>78</v>
      </c>
      <c r="N88" s="112">
        <f>4014000+4014000+4014000+4014000+4014000</f>
        <v>20070000</v>
      </c>
      <c r="O88" s="196">
        <f t="shared" si="21"/>
        <v>41.65801818257296</v>
      </c>
      <c r="P88" s="91" t="s">
        <v>139</v>
      </c>
      <c r="Q88" s="91" t="s">
        <v>321</v>
      </c>
      <c r="R88" s="12"/>
      <c r="S88" s="12"/>
      <c r="T88" s="12"/>
      <c r="U88" s="191">
        <f t="shared" si="14"/>
        <v>0</v>
      </c>
      <c r="V88" s="181">
        <f>J88-T88</f>
        <v>48178000</v>
      </c>
      <c r="W88" s="191">
        <f t="shared" si="22"/>
        <v>100</v>
      </c>
      <c r="X88" s="7"/>
      <c r="Y88" s="38"/>
      <c r="Z88" s="46"/>
      <c r="AA88" s="44"/>
      <c r="AB88" s="44"/>
      <c r="AC88" s="44"/>
      <c r="AD88" s="44"/>
      <c r="AE88" s="44"/>
      <c r="AF88" s="44"/>
      <c r="AG88" s="44"/>
      <c r="AH88" s="44"/>
      <c r="AI88" s="44"/>
    </row>
    <row r="89" spans="1:35" s="26" customFormat="1" ht="13.5">
      <c r="A89" s="10"/>
      <c r="B89" s="28" t="s">
        <v>228</v>
      </c>
      <c r="C89" s="159" t="s">
        <v>231</v>
      </c>
      <c r="D89" s="102" t="s">
        <v>37</v>
      </c>
      <c r="E89" s="102" t="s">
        <v>140</v>
      </c>
      <c r="F89" s="107" t="s">
        <v>75</v>
      </c>
      <c r="G89" s="10" t="s">
        <v>28</v>
      </c>
      <c r="H89" s="102" t="s">
        <v>5</v>
      </c>
      <c r="I89" s="10"/>
      <c r="J89" s="98">
        <f>SUM(J90:J91)</f>
        <v>24500000</v>
      </c>
      <c r="K89" s="98"/>
      <c r="L89" s="98"/>
      <c r="M89" s="98"/>
      <c r="N89" s="98">
        <f>SUM(N90:N93)</f>
        <v>12500000</v>
      </c>
      <c r="O89" s="195">
        <f t="shared" si="21"/>
        <v>51.02040816326531</v>
      </c>
      <c r="P89" s="170" t="s">
        <v>139</v>
      </c>
      <c r="Q89" s="170" t="s">
        <v>321</v>
      </c>
      <c r="R89" s="110">
        <f>SUM(R90:R91)</f>
        <v>2775000</v>
      </c>
      <c r="S89" s="110">
        <f>SUM(S90:S93)</f>
        <v>950000</v>
      </c>
      <c r="T89" s="110">
        <f>SUM(T90:T93)</f>
        <v>3725000</v>
      </c>
      <c r="U89" s="307">
        <f t="shared" si="14"/>
        <v>15.204081632653061</v>
      </c>
      <c r="V89" s="98">
        <f>SUM(V90:V91)</f>
        <v>20775000</v>
      </c>
      <c r="W89" s="191">
        <f t="shared" si="22"/>
        <v>84.79591836734693</v>
      </c>
      <c r="X89" s="98">
        <f>SUM(X90:X93)</f>
        <v>0</v>
      </c>
      <c r="Y89" s="106"/>
      <c r="Z89" s="45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s="25" customFormat="1" ht="13.5">
      <c r="A90" s="9"/>
      <c r="B90" s="247" t="s">
        <v>229</v>
      </c>
      <c r="C90" s="158" t="s">
        <v>232</v>
      </c>
      <c r="D90" s="5" t="s">
        <v>37</v>
      </c>
      <c r="E90" s="5" t="s">
        <v>140</v>
      </c>
      <c r="F90" s="84" t="s">
        <v>75</v>
      </c>
      <c r="G90" s="9" t="s">
        <v>28</v>
      </c>
      <c r="H90" s="5" t="s">
        <v>5</v>
      </c>
      <c r="I90" s="9"/>
      <c r="J90" s="11">
        <v>12000000</v>
      </c>
      <c r="K90" s="82"/>
      <c r="L90" s="37"/>
      <c r="M90" s="7" t="s">
        <v>78</v>
      </c>
      <c r="N90" s="112">
        <f>1000000+1000000+1000000+1000000+1000000</f>
        <v>5000000</v>
      </c>
      <c r="O90" s="196">
        <f t="shared" si="21"/>
        <v>41.66666666666667</v>
      </c>
      <c r="P90" s="91" t="s">
        <v>139</v>
      </c>
      <c r="Q90" s="91" t="s">
        <v>321</v>
      </c>
      <c r="R90" s="12">
        <v>1775000</v>
      </c>
      <c r="S90" s="12">
        <v>950000</v>
      </c>
      <c r="T90" s="12">
        <f>R90+S90</f>
        <v>2725000</v>
      </c>
      <c r="U90" s="191">
        <f t="shared" si="14"/>
        <v>22.708333333333332</v>
      </c>
      <c r="V90" s="181">
        <f>J90-T90</f>
        <v>9275000</v>
      </c>
      <c r="W90" s="191">
        <f t="shared" si="22"/>
        <v>77.29166666666667</v>
      </c>
      <c r="X90" s="7"/>
      <c r="Y90" s="38"/>
      <c r="Z90" s="46"/>
      <c r="AA90" s="44"/>
      <c r="AB90" s="44"/>
      <c r="AC90" s="44"/>
      <c r="AD90" s="44"/>
      <c r="AE90" s="44"/>
      <c r="AF90" s="44"/>
      <c r="AG90" s="44"/>
      <c r="AH90" s="44"/>
      <c r="AI90" s="44"/>
    </row>
    <row r="91" spans="1:35" s="25" customFormat="1" ht="13.5">
      <c r="A91" s="9"/>
      <c r="B91" s="247" t="s">
        <v>230</v>
      </c>
      <c r="C91" s="158" t="s">
        <v>233</v>
      </c>
      <c r="D91" s="5" t="s">
        <v>37</v>
      </c>
      <c r="E91" s="5" t="s">
        <v>140</v>
      </c>
      <c r="F91" s="84" t="s">
        <v>75</v>
      </c>
      <c r="G91" s="9" t="s">
        <v>28</v>
      </c>
      <c r="H91" s="5" t="s">
        <v>5</v>
      </c>
      <c r="I91" s="9"/>
      <c r="J91" s="11">
        <v>12500000</v>
      </c>
      <c r="K91" s="82"/>
      <c r="L91" s="37"/>
      <c r="M91" s="7" t="s">
        <v>78</v>
      </c>
      <c r="N91" s="112">
        <f>1000000+1500000+1000000+1000000+1000000</f>
        <v>5500000</v>
      </c>
      <c r="O91" s="196">
        <f t="shared" si="21"/>
        <v>44</v>
      </c>
      <c r="P91" s="91" t="s">
        <v>139</v>
      </c>
      <c r="Q91" s="91" t="s">
        <v>321</v>
      </c>
      <c r="R91" s="12">
        <v>1000000</v>
      </c>
      <c r="S91" s="12"/>
      <c r="T91" s="12">
        <f>R91+S91</f>
        <v>1000000</v>
      </c>
      <c r="U91" s="191">
        <f t="shared" si="14"/>
        <v>8</v>
      </c>
      <c r="V91" s="181">
        <f>J91-T91</f>
        <v>11500000</v>
      </c>
      <c r="W91" s="191">
        <f t="shared" si="22"/>
        <v>92</v>
      </c>
      <c r="X91" s="7"/>
      <c r="Y91" s="38"/>
      <c r="Z91" s="46"/>
      <c r="AA91" s="44"/>
      <c r="AB91" s="44"/>
      <c r="AC91" s="44"/>
      <c r="AD91" s="44"/>
      <c r="AE91" s="44"/>
      <c r="AF91" s="44"/>
      <c r="AG91" s="44"/>
      <c r="AH91" s="44"/>
      <c r="AI91" s="44"/>
    </row>
    <row r="92" spans="1:35" s="26" customFormat="1" ht="13.5">
      <c r="A92" s="10"/>
      <c r="B92" s="242" t="s">
        <v>234</v>
      </c>
      <c r="C92" s="159" t="s">
        <v>235</v>
      </c>
      <c r="D92" s="102" t="s">
        <v>37</v>
      </c>
      <c r="E92" s="102" t="s">
        <v>308</v>
      </c>
      <c r="F92" s="107" t="s">
        <v>75</v>
      </c>
      <c r="G92" s="10" t="s">
        <v>28</v>
      </c>
      <c r="H92" s="102" t="s">
        <v>5</v>
      </c>
      <c r="I92" s="10"/>
      <c r="J92" s="98">
        <f>J93</f>
        <v>1700000</v>
      </c>
      <c r="K92" s="98"/>
      <c r="L92" s="98"/>
      <c r="M92" s="98"/>
      <c r="N92" s="98">
        <f>N93</f>
        <v>1000000</v>
      </c>
      <c r="O92" s="195">
        <f t="shared" si="21"/>
        <v>58.82352941176471</v>
      </c>
      <c r="P92" s="170" t="s">
        <v>139</v>
      </c>
      <c r="Q92" s="170" t="s">
        <v>321</v>
      </c>
      <c r="R92" s="110">
        <f>R93</f>
        <v>1000000</v>
      </c>
      <c r="S92" s="110">
        <f>S93</f>
        <v>0</v>
      </c>
      <c r="T92" s="110">
        <f>T93</f>
        <v>0</v>
      </c>
      <c r="U92" s="191">
        <f t="shared" si="14"/>
        <v>0</v>
      </c>
      <c r="V92" s="98">
        <f>V93</f>
        <v>1700000</v>
      </c>
      <c r="W92" s="191">
        <f t="shared" si="22"/>
        <v>100</v>
      </c>
      <c r="X92" s="98">
        <f>X93</f>
        <v>0</v>
      </c>
      <c r="Y92" s="106"/>
      <c r="Z92" s="45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s="25" customFormat="1" ht="13.5">
      <c r="A93" s="9"/>
      <c r="B93" s="247" t="s">
        <v>150</v>
      </c>
      <c r="C93" s="158" t="s">
        <v>236</v>
      </c>
      <c r="D93" s="5" t="s">
        <v>37</v>
      </c>
      <c r="E93" s="5" t="s">
        <v>308</v>
      </c>
      <c r="F93" s="84" t="s">
        <v>75</v>
      </c>
      <c r="G93" s="9" t="s">
        <v>28</v>
      </c>
      <c r="H93" s="5" t="s">
        <v>5</v>
      </c>
      <c r="I93" s="9"/>
      <c r="J93" s="11">
        <v>1700000</v>
      </c>
      <c r="K93" s="82"/>
      <c r="L93" s="37"/>
      <c r="M93" s="7" t="s">
        <v>78</v>
      </c>
      <c r="N93" s="112">
        <v>1000000</v>
      </c>
      <c r="O93" s="196">
        <f t="shared" si="21"/>
        <v>58.82352941176471</v>
      </c>
      <c r="P93" s="91" t="s">
        <v>309</v>
      </c>
      <c r="Q93" s="91" t="s">
        <v>322</v>
      </c>
      <c r="R93" s="12">
        <v>1000000</v>
      </c>
      <c r="S93" s="12"/>
      <c r="T93" s="12"/>
      <c r="U93" s="191">
        <f t="shared" si="14"/>
        <v>0</v>
      </c>
      <c r="V93" s="181">
        <f>J93-T93</f>
        <v>1700000</v>
      </c>
      <c r="W93" s="191">
        <f t="shared" si="22"/>
        <v>100</v>
      </c>
      <c r="X93" s="7"/>
      <c r="Y93" s="38"/>
      <c r="Z93" s="46"/>
      <c r="AA93" s="44"/>
      <c r="AB93" s="44"/>
      <c r="AC93" s="44"/>
      <c r="AD93" s="44"/>
      <c r="AE93" s="44"/>
      <c r="AF93" s="44"/>
      <c r="AG93" s="44"/>
      <c r="AH93" s="44"/>
      <c r="AI93" s="44"/>
    </row>
    <row r="94" spans="1:35" s="26" customFormat="1" ht="13.5">
      <c r="A94" s="10"/>
      <c r="B94" s="28" t="s">
        <v>151</v>
      </c>
      <c r="C94" s="159">
        <v>2124</v>
      </c>
      <c r="D94" s="102" t="s">
        <v>76</v>
      </c>
      <c r="E94" s="102" t="s">
        <v>140</v>
      </c>
      <c r="F94" s="84" t="s">
        <v>75</v>
      </c>
      <c r="G94" s="10" t="s">
        <v>28</v>
      </c>
      <c r="H94" s="102" t="s">
        <v>5</v>
      </c>
      <c r="I94" s="10"/>
      <c r="J94" s="98">
        <f>SUM(J95:J99)</f>
        <v>159250000</v>
      </c>
      <c r="K94" s="98"/>
      <c r="L94" s="98"/>
      <c r="M94" s="98"/>
      <c r="N94" s="98">
        <f>SUM(N95:N99)</f>
        <v>88917500</v>
      </c>
      <c r="O94" s="195">
        <f t="shared" si="21"/>
        <v>55.83516483516483</v>
      </c>
      <c r="P94" s="170" t="s">
        <v>139</v>
      </c>
      <c r="Q94" s="170" t="s">
        <v>321</v>
      </c>
      <c r="R94" s="111">
        <f>SUM(R95:R99)</f>
        <v>47275000</v>
      </c>
      <c r="S94" s="111">
        <f>SUM(S95:S99)</f>
        <v>14770000</v>
      </c>
      <c r="T94" s="111">
        <f>SUM(T95:T99)</f>
        <v>62045000</v>
      </c>
      <c r="U94" s="307">
        <f t="shared" si="14"/>
        <v>38.9607535321821</v>
      </c>
      <c r="V94" s="176">
        <f>SUM(V95:V99)</f>
        <v>97205000</v>
      </c>
      <c r="W94" s="191">
        <f t="shared" si="22"/>
        <v>61.0392464678179</v>
      </c>
      <c r="X94" s="105"/>
      <c r="Y94" s="106"/>
      <c r="Z94" s="45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s="25" customFormat="1" ht="13.5">
      <c r="A95" s="9"/>
      <c r="B95" s="247" t="s">
        <v>237</v>
      </c>
      <c r="C95" s="158" t="s">
        <v>242</v>
      </c>
      <c r="D95" s="5" t="s">
        <v>76</v>
      </c>
      <c r="E95" s="5" t="s">
        <v>140</v>
      </c>
      <c r="F95" s="84" t="s">
        <v>75</v>
      </c>
      <c r="G95" s="9" t="s">
        <v>28</v>
      </c>
      <c r="H95" s="5" t="s">
        <v>5</v>
      </c>
      <c r="I95" s="9"/>
      <c r="J95" s="11">
        <v>30000000</v>
      </c>
      <c r="K95" s="82"/>
      <c r="L95" s="37"/>
      <c r="M95" s="7" t="s">
        <v>221</v>
      </c>
      <c r="N95" s="112">
        <f>2500000+2500000+20000000+5000000</f>
        <v>30000000</v>
      </c>
      <c r="O95" s="196">
        <f t="shared" si="21"/>
        <v>100</v>
      </c>
      <c r="P95" s="91" t="s">
        <v>139</v>
      </c>
      <c r="Q95" s="91" t="s">
        <v>309</v>
      </c>
      <c r="R95" s="12">
        <v>17450000</v>
      </c>
      <c r="S95" s="12">
        <v>2000000</v>
      </c>
      <c r="T95" s="12">
        <f>R95+S95</f>
        <v>19450000</v>
      </c>
      <c r="U95" s="191">
        <f t="shared" si="14"/>
        <v>64.83333333333333</v>
      </c>
      <c r="V95" s="181">
        <f>J95-T95</f>
        <v>10550000</v>
      </c>
      <c r="W95" s="191">
        <f t="shared" si="22"/>
        <v>35.16666666666667</v>
      </c>
      <c r="X95" s="7"/>
      <c r="Y95" s="38"/>
      <c r="Z95" s="46"/>
      <c r="AA95" s="44"/>
      <c r="AB95" s="44"/>
      <c r="AC95" s="44"/>
      <c r="AD95" s="44"/>
      <c r="AE95" s="44"/>
      <c r="AF95" s="44"/>
      <c r="AG95" s="44"/>
      <c r="AH95" s="44"/>
      <c r="AI95" s="44"/>
    </row>
    <row r="96" spans="1:35" s="25" customFormat="1" ht="13.5">
      <c r="A96" s="9"/>
      <c r="B96" s="247" t="s">
        <v>238</v>
      </c>
      <c r="C96" s="158" t="s">
        <v>243</v>
      </c>
      <c r="D96" s="5" t="s">
        <v>76</v>
      </c>
      <c r="E96" s="5" t="s">
        <v>140</v>
      </c>
      <c r="F96" s="84" t="s">
        <v>75</v>
      </c>
      <c r="G96" s="9" t="s">
        <v>28</v>
      </c>
      <c r="H96" s="5" t="s">
        <v>5</v>
      </c>
      <c r="I96" s="9"/>
      <c r="J96" s="11">
        <v>10500000</v>
      </c>
      <c r="K96" s="82"/>
      <c r="L96" s="37"/>
      <c r="M96" s="7" t="s">
        <v>78</v>
      </c>
      <c r="N96" s="112">
        <f>875000+875000+875000+875000+875000</f>
        <v>4375000</v>
      </c>
      <c r="O96" s="196">
        <f t="shared" si="21"/>
        <v>41.66666666666667</v>
      </c>
      <c r="P96" s="91" t="s">
        <v>139</v>
      </c>
      <c r="Q96" s="91" t="s">
        <v>321</v>
      </c>
      <c r="R96" s="12">
        <v>775000</v>
      </c>
      <c r="S96" s="12">
        <v>1650000</v>
      </c>
      <c r="T96" s="12">
        <f>R96+S96</f>
        <v>2425000</v>
      </c>
      <c r="U96" s="191">
        <f t="shared" si="14"/>
        <v>23.095238095238095</v>
      </c>
      <c r="V96" s="181">
        <f>J96-T96</f>
        <v>8075000</v>
      </c>
      <c r="W96" s="191">
        <f t="shared" si="22"/>
        <v>76.90476190476191</v>
      </c>
      <c r="X96" s="7"/>
      <c r="Y96" s="38"/>
      <c r="Z96" s="46"/>
      <c r="AA96" s="44"/>
      <c r="AB96" s="44"/>
      <c r="AC96" s="44"/>
      <c r="AD96" s="44"/>
      <c r="AE96" s="44"/>
      <c r="AF96" s="44"/>
      <c r="AG96" s="44"/>
      <c r="AH96" s="44"/>
      <c r="AI96" s="44"/>
    </row>
    <row r="97" spans="1:35" s="25" customFormat="1" ht="13.5">
      <c r="A97" s="9"/>
      <c r="B97" s="247" t="s">
        <v>239</v>
      </c>
      <c r="C97" s="158" t="s">
        <v>243</v>
      </c>
      <c r="D97" s="5" t="s">
        <v>76</v>
      </c>
      <c r="E97" s="5" t="s">
        <v>140</v>
      </c>
      <c r="F97" s="84" t="s">
        <v>75</v>
      </c>
      <c r="G97" s="9" t="s">
        <v>28</v>
      </c>
      <c r="H97" s="5" t="s">
        <v>5</v>
      </c>
      <c r="I97" s="9"/>
      <c r="J97" s="11">
        <v>97900000</v>
      </c>
      <c r="K97" s="82"/>
      <c r="L97" s="37"/>
      <c r="M97" s="7" t="s">
        <v>221</v>
      </c>
      <c r="N97" s="112">
        <f>9630000+9630000+9630000+9630000+7422500</f>
        <v>45942500</v>
      </c>
      <c r="O97" s="196">
        <f t="shared" si="21"/>
        <v>46.92798774259448</v>
      </c>
      <c r="P97" s="91" t="s">
        <v>139</v>
      </c>
      <c r="Q97" s="91" t="s">
        <v>321</v>
      </c>
      <c r="R97" s="12">
        <v>26775000</v>
      </c>
      <c r="S97" s="12">
        <v>10370000</v>
      </c>
      <c r="T97" s="12">
        <f>R97+S97</f>
        <v>37145000</v>
      </c>
      <c r="U97" s="191">
        <f t="shared" si="14"/>
        <v>37.9417773237998</v>
      </c>
      <c r="V97" s="181">
        <f>J97-T97</f>
        <v>60755000</v>
      </c>
      <c r="W97" s="191">
        <f t="shared" si="22"/>
        <v>62.0582226762002</v>
      </c>
      <c r="X97" s="7"/>
      <c r="Y97" s="38"/>
      <c r="Z97" s="46"/>
      <c r="AA97" s="44"/>
      <c r="AB97" s="44"/>
      <c r="AC97" s="44"/>
      <c r="AD97" s="44"/>
      <c r="AE97" s="44"/>
      <c r="AF97" s="44"/>
      <c r="AG97" s="44"/>
      <c r="AH97" s="44"/>
      <c r="AI97" s="44"/>
    </row>
    <row r="98" spans="1:35" s="25" customFormat="1" ht="13.5">
      <c r="A98" s="9"/>
      <c r="B98" s="247" t="s">
        <v>240</v>
      </c>
      <c r="C98" s="158" t="s">
        <v>244</v>
      </c>
      <c r="D98" s="5" t="s">
        <v>76</v>
      </c>
      <c r="E98" s="5" t="s">
        <v>307</v>
      </c>
      <c r="F98" s="84" t="s">
        <v>75</v>
      </c>
      <c r="G98" s="9" t="s">
        <v>28</v>
      </c>
      <c r="H98" s="5" t="s">
        <v>5</v>
      </c>
      <c r="I98" s="9"/>
      <c r="J98" s="11">
        <v>3600000</v>
      </c>
      <c r="K98" s="82"/>
      <c r="L98" s="37"/>
      <c r="M98" s="7" t="s">
        <v>78</v>
      </c>
      <c r="N98" s="112">
        <v>1200000</v>
      </c>
      <c r="O98" s="196">
        <f t="shared" si="21"/>
        <v>33.33333333333333</v>
      </c>
      <c r="P98" s="91" t="s">
        <v>309</v>
      </c>
      <c r="Q98" s="91" t="s">
        <v>323</v>
      </c>
      <c r="R98" s="12">
        <v>1100000</v>
      </c>
      <c r="S98" s="12">
        <v>0</v>
      </c>
      <c r="T98" s="12">
        <f>R98+S98</f>
        <v>1100000</v>
      </c>
      <c r="U98" s="191">
        <f t="shared" si="14"/>
        <v>30.555555555555557</v>
      </c>
      <c r="V98" s="181">
        <f>J98-T98</f>
        <v>2500000</v>
      </c>
      <c r="W98" s="191">
        <f t="shared" si="22"/>
        <v>69.44444444444444</v>
      </c>
      <c r="X98" s="7"/>
      <c r="Y98" s="38"/>
      <c r="Z98" s="46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35" s="25" customFormat="1" ht="13.5">
      <c r="A99" s="9"/>
      <c r="B99" s="247" t="s">
        <v>241</v>
      </c>
      <c r="C99" s="158" t="s">
        <v>245</v>
      </c>
      <c r="D99" s="5" t="s">
        <v>76</v>
      </c>
      <c r="E99" s="5" t="s">
        <v>140</v>
      </c>
      <c r="F99" s="84" t="s">
        <v>75</v>
      </c>
      <c r="G99" s="9" t="s">
        <v>28</v>
      </c>
      <c r="H99" s="5" t="s">
        <v>5</v>
      </c>
      <c r="I99" s="9"/>
      <c r="J99" s="11">
        <v>17250000</v>
      </c>
      <c r="K99" s="82"/>
      <c r="L99" s="37"/>
      <c r="M99" s="7" t="s">
        <v>78</v>
      </c>
      <c r="N99" s="112">
        <f>1500000+1500000+1500000+1500000+1400000</f>
        <v>7400000</v>
      </c>
      <c r="O99" s="196">
        <f t="shared" si="21"/>
        <v>42.89855072463768</v>
      </c>
      <c r="P99" s="91" t="s">
        <v>139</v>
      </c>
      <c r="Q99" s="91" t="s">
        <v>321</v>
      </c>
      <c r="R99" s="12">
        <v>1175000</v>
      </c>
      <c r="S99" s="12">
        <v>750000</v>
      </c>
      <c r="T99" s="12">
        <f>R99+S99</f>
        <v>1925000</v>
      </c>
      <c r="U99" s="191">
        <f t="shared" si="14"/>
        <v>11.159420289855072</v>
      </c>
      <c r="V99" s="181">
        <f>J99-T99</f>
        <v>15325000</v>
      </c>
      <c r="W99" s="191">
        <f t="shared" si="22"/>
        <v>88.84057971014492</v>
      </c>
      <c r="X99" s="7"/>
      <c r="Y99" s="38"/>
      <c r="Z99" s="46"/>
      <c r="AA99" s="44"/>
      <c r="AB99" s="44"/>
      <c r="AC99" s="44"/>
      <c r="AD99" s="44"/>
      <c r="AE99" s="44"/>
      <c r="AF99" s="44"/>
      <c r="AG99" s="44"/>
      <c r="AH99" s="44"/>
      <c r="AI99" s="44"/>
    </row>
    <row r="100" spans="1:35" s="26" customFormat="1" ht="13.5">
      <c r="A100" s="10"/>
      <c r="B100" s="28" t="s">
        <v>100</v>
      </c>
      <c r="C100" s="10" t="s">
        <v>128</v>
      </c>
      <c r="D100" s="102" t="s">
        <v>37</v>
      </c>
      <c r="E100" s="102" t="s">
        <v>140</v>
      </c>
      <c r="F100" s="84" t="s">
        <v>75</v>
      </c>
      <c r="G100" s="10" t="s">
        <v>28</v>
      </c>
      <c r="H100" s="102" t="s">
        <v>5</v>
      </c>
      <c r="I100" s="10"/>
      <c r="J100" s="98">
        <f>J101+J102</f>
        <v>109400000</v>
      </c>
      <c r="K100" s="98"/>
      <c r="L100" s="98"/>
      <c r="M100" s="98"/>
      <c r="N100" s="98">
        <f>N101+N102</f>
        <v>50687500</v>
      </c>
      <c r="O100" s="195">
        <f t="shared" si="21"/>
        <v>46.33226691042048</v>
      </c>
      <c r="P100" s="170" t="s">
        <v>139</v>
      </c>
      <c r="Q100" s="170" t="s">
        <v>321</v>
      </c>
      <c r="R100" s="109">
        <f>R101+R102</f>
        <v>17465000</v>
      </c>
      <c r="S100" s="109">
        <f>S101+S102</f>
        <v>3450000</v>
      </c>
      <c r="T100" s="109">
        <f>T101+T102</f>
        <v>20915000</v>
      </c>
      <c r="U100" s="307">
        <f t="shared" si="14"/>
        <v>19.117915904936016</v>
      </c>
      <c r="V100" s="176">
        <f>V101+V102</f>
        <v>88485000</v>
      </c>
      <c r="W100" s="191">
        <f t="shared" si="22"/>
        <v>80.88208409506399</v>
      </c>
      <c r="X100" s="105"/>
      <c r="Y100" s="106"/>
      <c r="Z100" s="45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s="25" customFormat="1" ht="13.5">
      <c r="A101" s="9"/>
      <c r="B101" s="34" t="s">
        <v>101</v>
      </c>
      <c r="C101" s="9" t="s">
        <v>129</v>
      </c>
      <c r="D101" s="5" t="s">
        <v>37</v>
      </c>
      <c r="E101" s="5" t="s">
        <v>140</v>
      </c>
      <c r="F101" s="84" t="s">
        <v>75</v>
      </c>
      <c r="G101" s="9" t="s">
        <v>28</v>
      </c>
      <c r="H101" s="5" t="s">
        <v>5</v>
      </c>
      <c r="I101" s="9"/>
      <c r="J101" s="11">
        <v>66500000</v>
      </c>
      <c r="K101" s="82"/>
      <c r="L101" s="37"/>
      <c r="M101" s="7" t="s">
        <v>221</v>
      </c>
      <c r="N101" s="112">
        <f>7000000+7000000+7000000+7000000+4812500</f>
        <v>32812500</v>
      </c>
      <c r="O101" s="196">
        <f t="shared" si="21"/>
        <v>49.34210526315789</v>
      </c>
      <c r="P101" s="91" t="s">
        <v>139</v>
      </c>
      <c r="Q101" s="91" t="s">
        <v>321</v>
      </c>
      <c r="R101" s="12">
        <v>13900000</v>
      </c>
      <c r="S101" s="12"/>
      <c r="T101" s="12">
        <f>R101+S101</f>
        <v>13900000</v>
      </c>
      <c r="U101" s="191">
        <f t="shared" si="14"/>
        <v>20.902255639097746</v>
      </c>
      <c r="V101" s="181">
        <f>J101-T101</f>
        <v>52600000</v>
      </c>
      <c r="W101" s="191">
        <f t="shared" si="22"/>
        <v>79.09774436090225</v>
      </c>
      <c r="X101" s="7"/>
      <c r="Y101" s="38"/>
      <c r="Z101" s="46"/>
      <c r="AA101" s="44"/>
      <c r="AB101" s="44"/>
      <c r="AC101" s="44"/>
      <c r="AD101" s="44"/>
      <c r="AE101" s="44"/>
      <c r="AF101" s="44"/>
      <c r="AG101" s="44"/>
      <c r="AH101" s="44"/>
      <c r="AI101" s="44"/>
    </row>
    <row r="102" spans="1:35" s="25" customFormat="1" ht="13.5">
      <c r="A102" s="9"/>
      <c r="B102" s="34" t="s">
        <v>152</v>
      </c>
      <c r="C102" s="158">
        <v>125005</v>
      </c>
      <c r="D102" s="5" t="s">
        <v>37</v>
      </c>
      <c r="E102" s="5" t="s">
        <v>140</v>
      </c>
      <c r="F102" s="84" t="s">
        <v>75</v>
      </c>
      <c r="G102" s="9" t="s">
        <v>28</v>
      </c>
      <c r="H102" s="5" t="s">
        <v>5</v>
      </c>
      <c r="I102" s="9"/>
      <c r="J102" s="11">
        <v>42900000</v>
      </c>
      <c r="K102" s="82"/>
      <c r="L102" s="37"/>
      <c r="M102" s="7" t="s">
        <v>221</v>
      </c>
      <c r="N102" s="112">
        <f>3575000+3575000+3575000+3575000+3575000</f>
        <v>17875000</v>
      </c>
      <c r="O102" s="196">
        <f t="shared" si="21"/>
        <v>41.66666666666667</v>
      </c>
      <c r="P102" s="91" t="s">
        <v>139</v>
      </c>
      <c r="Q102" s="91" t="s">
        <v>321</v>
      </c>
      <c r="R102" s="12">
        <v>3565000</v>
      </c>
      <c r="S102" s="12">
        <v>3450000</v>
      </c>
      <c r="T102" s="12">
        <f>R102+S102</f>
        <v>7015000</v>
      </c>
      <c r="U102" s="191">
        <f t="shared" si="14"/>
        <v>16.35198135198135</v>
      </c>
      <c r="V102" s="181">
        <f>J102-T102</f>
        <v>35885000</v>
      </c>
      <c r="W102" s="191">
        <f t="shared" si="22"/>
        <v>83.64801864801865</v>
      </c>
      <c r="X102" s="7"/>
      <c r="Y102" s="38"/>
      <c r="Z102" s="46"/>
      <c r="AA102" s="44"/>
      <c r="AB102" s="44"/>
      <c r="AC102" s="44"/>
      <c r="AD102" s="44"/>
      <c r="AE102" s="44"/>
      <c r="AF102" s="44"/>
      <c r="AG102" s="44"/>
      <c r="AH102" s="44"/>
      <c r="AI102" s="44"/>
    </row>
    <row r="103" spans="1:35" s="26" customFormat="1" ht="12.75" customHeight="1">
      <c r="A103" s="348" t="s">
        <v>20</v>
      </c>
      <c r="B103" s="349" t="s">
        <v>102</v>
      </c>
      <c r="C103" s="350"/>
      <c r="D103" s="350"/>
      <c r="E103" s="350"/>
      <c r="F103" s="350"/>
      <c r="G103" s="350"/>
      <c r="H103" s="350"/>
      <c r="I103" s="350"/>
      <c r="J103" s="351">
        <f>J105+J114+J118+J123+J143</f>
        <v>2665520400</v>
      </c>
      <c r="K103" s="351"/>
      <c r="L103" s="351"/>
      <c r="M103" s="351"/>
      <c r="N103" s="351">
        <f>N105+N114+N118+N123+N143</f>
        <v>1675507900</v>
      </c>
      <c r="O103" s="351">
        <f>N103/J103*100</f>
        <v>62.85856600459707</v>
      </c>
      <c r="P103" s="351"/>
      <c r="Q103" s="351"/>
      <c r="R103" s="351">
        <f>R105+R114+R118+R123+R143</f>
        <v>131731300</v>
      </c>
      <c r="S103" s="351">
        <f>S105+S114+S118+S123+S143</f>
        <v>1058560261</v>
      </c>
      <c r="T103" s="351">
        <f>T105+T114+T118+T123+T143</f>
        <v>1190291561</v>
      </c>
      <c r="U103" s="351">
        <f>T103/J103*100</f>
        <v>44.655128544504855</v>
      </c>
      <c r="V103" s="351">
        <f>V105+V114+V118+V123+V143</f>
        <v>1475228839</v>
      </c>
      <c r="W103" s="351">
        <f>V103/J103*100</f>
        <v>55.344871455495145</v>
      </c>
      <c r="X103" s="351"/>
      <c r="Y103" s="106"/>
      <c r="Z103" s="45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s="26" customFormat="1" ht="12" customHeight="1">
      <c r="A104" s="348"/>
      <c r="B104" s="349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52"/>
      <c r="Z104" s="45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s="140" customFormat="1" ht="29.25" customHeight="1">
      <c r="A105" s="130">
        <v>1</v>
      </c>
      <c r="B105" s="143" t="s">
        <v>103</v>
      </c>
      <c r="C105" s="130" t="s">
        <v>130</v>
      </c>
      <c r="D105" s="132" t="s">
        <v>37</v>
      </c>
      <c r="E105" s="132" t="s">
        <v>140</v>
      </c>
      <c r="F105" s="213" t="s">
        <v>75</v>
      </c>
      <c r="G105" s="130" t="s">
        <v>28</v>
      </c>
      <c r="H105" s="132" t="s">
        <v>5</v>
      </c>
      <c r="I105" s="130" t="s">
        <v>28</v>
      </c>
      <c r="J105" s="133">
        <f>J109+J106</f>
        <v>169050000</v>
      </c>
      <c r="K105" s="134"/>
      <c r="L105" s="135"/>
      <c r="M105" s="270"/>
      <c r="N105" s="137">
        <f>N106+N109</f>
        <v>126687500</v>
      </c>
      <c r="O105" s="194">
        <f>N105/J105*100</f>
        <v>74.94084590357882</v>
      </c>
      <c r="P105" s="168"/>
      <c r="Q105" s="168"/>
      <c r="R105" s="138">
        <f>R106+R109</f>
        <v>8325000</v>
      </c>
      <c r="S105" s="138">
        <f>S106+S109</f>
        <v>54160561</v>
      </c>
      <c r="T105" s="138">
        <f>T106+T109</f>
        <v>62485561</v>
      </c>
      <c r="U105" s="202">
        <f aca="true" t="shared" si="23" ref="U105:U114">T105/J105*100</f>
        <v>36.96276900325348</v>
      </c>
      <c r="V105" s="139">
        <f>V106+V109</f>
        <v>106564439</v>
      </c>
      <c r="W105" s="301">
        <f>V105/J105*100</f>
        <v>63.03723099674653</v>
      </c>
      <c r="X105" s="139"/>
      <c r="Y105" s="41"/>
      <c r="Z105" s="45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s="126" customFormat="1" ht="15" customHeight="1">
      <c r="A106" s="147"/>
      <c r="B106" s="129" t="s">
        <v>83</v>
      </c>
      <c r="C106" s="161"/>
      <c r="D106" s="120"/>
      <c r="E106" s="120"/>
      <c r="F106" s="120"/>
      <c r="G106" s="118"/>
      <c r="H106" s="120"/>
      <c r="I106" s="147"/>
      <c r="J106" s="162">
        <f>J107</f>
        <v>4050000</v>
      </c>
      <c r="K106" s="147"/>
      <c r="L106" s="147"/>
      <c r="M106" s="147"/>
      <c r="N106" s="148">
        <f>N107</f>
        <v>1687500</v>
      </c>
      <c r="O106" s="198">
        <f aca="true" t="shared" si="24" ref="O106:O120">N106/J106*100</f>
        <v>41.66666666666667</v>
      </c>
      <c r="P106" s="147"/>
      <c r="Q106" s="147"/>
      <c r="R106" s="183">
        <f aca="true" t="shared" si="25" ref="R106:T107">R107</f>
        <v>0</v>
      </c>
      <c r="S106" s="148">
        <f t="shared" si="25"/>
        <v>0</v>
      </c>
      <c r="T106" s="148">
        <f>T107</f>
        <v>0</v>
      </c>
      <c r="U106" s="215">
        <f t="shared" si="23"/>
        <v>0</v>
      </c>
      <c r="V106" s="125">
        <f>V107</f>
        <v>4050000</v>
      </c>
      <c r="W106" s="189">
        <f aca="true" t="shared" si="26" ref="W106:W112">V106/J106*100</f>
        <v>100</v>
      </c>
      <c r="X106" s="147"/>
      <c r="Y106" s="41"/>
      <c r="Z106" s="45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26" s="43" customFormat="1" ht="15" customHeight="1">
      <c r="A107" s="29"/>
      <c r="B107" s="96" t="s">
        <v>149</v>
      </c>
      <c r="C107" s="163">
        <v>1001</v>
      </c>
      <c r="D107" s="107" t="s">
        <v>76</v>
      </c>
      <c r="E107" s="107" t="s">
        <v>140</v>
      </c>
      <c r="F107" s="84" t="s">
        <v>75</v>
      </c>
      <c r="G107" s="108" t="s">
        <v>28</v>
      </c>
      <c r="H107" s="107" t="s">
        <v>5</v>
      </c>
      <c r="I107" s="29"/>
      <c r="J107" s="160">
        <f>J108</f>
        <v>4050000</v>
      </c>
      <c r="K107" s="29"/>
      <c r="L107" s="29"/>
      <c r="M107" s="29"/>
      <c r="N107" s="90">
        <f>N108</f>
        <v>1687500</v>
      </c>
      <c r="O107" s="199">
        <f>N107/J107*100</f>
        <v>41.66666666666667</v>
      </c>
      <c r="P107" s="170" t="s">
        <v>139</v>
      </c>
      <c r="Q107" s="170" t="s">
        <v>321</v>
      </c>
      <c r="R107" s="184">
        <f t="shared" si="25"/>
        <v>0</v>
      </c>
      <c r="S107" s="90">
        <f t="shared" si="25"/>
        <v>0</v>
      </c>
      <c r="T107" s="90">
        <f t="shared" si="25"/>
        <v>0</v>
      </c>
      <c r="U107" s="204">
        <f t="shared" si="23"/>
        <v>0</v>
      </c>
      <c r="V107" s="86">
        <f>V108</f>
        <v>4050000</v>
      </c>
      <c r="W107" s="189">
        <f t="shared" si="26"/>
        <v>100</v>
      </c>
      <c r="X107" s="29"/>
      <c r="Y107" s="41"/>
      <c r="Z107" s="45"/>
    </row>
    <row r="108" spans="1:26" s="44" customFormat="1" ht="12.75" customHeight="1">
      <c r="A108" s="27"/>
      <c r="B108" s="6" t="s">
        <v>148</v>
      </c>
      <c r="C108" s="35" t="s">
        <v>147</v>
      </c>
      <c r="D108" s="84" t="s">
        <v>76</v>
      </c>
      <c r="E108" s="84" t="s">
        <v>140</v>
      </c>
      <c r="F108" s="84" t="s">
        <v>75</v>
      </c>
      <c r="G108" s="87" t="s">
        <v>28</v>
      </c>
      <c r="H108" s="84" t="s">
        <v>5</v>
      </c>
      <c r="I108" s="27"/>
      <c r="J108" s="164">
        <v>4050000</v>
      </c>
      <c r="K108" s="27"/>
      <c r="L108" s="27"/>
      <c r="M108" s="27" t="s">
        <v>78</v>
      </c>
      <c r="N108" s="149">
        <f>337500+337500+337500+337500+337500</f>
        <v>1687500</v>
      </c>
      <c r="O108" s="200">
        <f t="shared" si="24"/>
        <v>41.66666666666667</v>
      </c>
      <c r="P108" s="91" t="s">
        <v>139</v>
      </c>
      <c r="Q108" s="91" t="s">
        <v>321</v>
      </c>
      <c r="R108" s="182"/>
      <c r="S108" s="149"/>
      <c r="T108" s="149">
        <f>R108+S108</f>
        <v>0</v>
      </c>
      <c r="U108" s="205">
        <f t="shared" si="23"/>
        <v>0</v>
      </c>
      <c r="V108" s="8">
        <f>J108-T108</f>
        <v>4050000</v>
      </c>
      <c r="W108" s="189">
        <f t="shared" si="26"/>
        <v>100</v>
      </c>
      <c r="X108" s="27"/>
      <c r="Y108" s="165"/>
      <c r="Z108" s="46"/>
    </row>
    <row r="109" spans="1:35" s="126" customFormat="1" ht="13.5" customHeight="1">
      <c r="A109" s="118"/>
      <c r="B109" s="119" t="s">
        <v>79</v>
      </c>
      <c r="C109" s="118"/>
      <c r="D109" s="118"/>
      <c r="E109" s="120"/>
      <c r="F109" s="120"/>
      <c r="G109" s="120"/>
      <c r="H109" s="120"/>
      <c r="I109" s="120"/>
      <c r="J109" s="121">
        <f>J110+J112</f>
        <v>165000000</v>
      </c>
      <c r="K109" s="120"/>
      <c r="L109" s="120"/>
      <c r="M109" s="120"/>
      <c r="N109" s="123">
        <f>N110+N112</f>
        <v>125000000</v>
      </c>
      <c r="O109" s="128">
        <f t="shared" si="24"/>
        <v>75.75757575757575</v>
      </c>
      <c r="P109" s="125"/>
      <c r="Q109" s="125" t="s">
        <v>321</v>
      </c>
      <c r="R109" s="124">
        <f>R110+R112</f>
        <v>8325000</v>
      </c>
      <c r="S109" s="124">
        <f>S110+S112</f>
        <v>54160561</v>
      </c>
      <c r="T109" s="124">
        <f>T110+T112</f>
        <v>62485561</v>
      </c>
      <c r="U109" s="203">
        <f t="shared" si="23"/>
        <v>37.87003696969697</v>
      </c>
      <c r="V109" s="125">
        <f>V110+V112</f>
        <v>102514439</v>
      </c>
      <c r="W109" s="189">
        <f t="shared" si="26"/>
        <v>62.129963030303024</v>
      </c>
      <c r="X109" s="125"/>
      <c r="Y109" s="106"/>
      <c r="Z109" s="45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s="26" customFormat="1" ht="13.5">
      <c r="A110" s="10"/>
      <c r="B110" s="95" t="s">
        <v>80</v>
      </c>
      <c r="C110" s="10" t="s">
        <v>114</v>
      </c>
      <c r="D110" s="102" t="s">
        <v>37</v>
      </c>
      <c r="E110" s="102" t="s">
        <v>140</v>
      </c>
      <c r="F110" s="84" t="s">
        <v>75</v>
      </c>
      <c r="G110" s="10" t="s">
        <v>28</v>
      </c>
      <c r="H110" s="102" t="s">
        <v>5</v>
      </c>
      <c r="I110" s="10" t="s">
        <v>28</v>
      </c>
      <c r="J110" s="98">
        <f>J111</f>
        <v>112500000</v>
      </c>
      <c r="K110" s="103"/>
      <c r="L110" s="104"/>
      <c r="M110" s="105"/>
      <c r="N110" s="110">
        <f>N111</f>
        <v>72500000</v>
      </c>
      <c r="O110" s="195">
        <f t="shared" si="24"/>
        <v>64.44444444444444</v>
      </c>
      <c r="P110" s="170" t="s">
        <v>139</v>
      </c>
      <c r="Q110" s="170" t="s">
        <v>321</v>
      </c>
      <c r="R110" s="89">
        <f>R111</f>
        <v>3750000</v>
      </c>
      <c r="S110" s="89">
        <f>S111</f>
        <v>22950000</v>
      </c>
      <c r="T110" s="89">
        <f>T111</f>
        <v>26700000</v>
      </c>
      <c r="U110" s="204">
        <f t="shared" si="23"/>
        <v>23.733333333333334</v>
      </c>
      <c r="V110" s="86">
        <f>V111</f>
        <v>85800000</v>
      </c>
      <c r="W110" s="189">
        <f t="shared" si="26"/>
        <v>76.26666666666667</v>
      </c>
      <c r="X110" s="105"/>
      <c r="Y110" s="106"/>
      <c r="Z110" s="45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s="25" customFormat="1" ht="13.5">
      <c r="A111" s="9"/>
      <c r="B111" s="74" t="s">
        <v>104</v>
      </c>
      <c r="C111" s="9" t="s">
        <v>131</v>
      </c>
      <c r="D111" s="5" t="s">
        <v>37</v>
      </c>
      <c r="E111" s="5" t="s">
        <v>140</v>
      </c>
      <c r="F111" s="84" t="s">
        <v>75</v>
      </c>
      <c r="G111" s="9" t="s">
        <v>28</v>
      </c>
      <c r="H111" s="5" t="s">
        <v>5</v>
      </c>
      <c r="I111" s="9"/>
      <c r="J111" s="11">
        <v>112500000</v>
      </c>
      <c r="K111" s="36"/>
      <c r="L111" s="37"/>
      <c r="M111" s="7" t="s">
        <v>78</v>
      </c>
      <c r="N111" s="112">
        <f>10000000+10000000+17500000+17500000+17500000</f>
        <v>72500000</v>
      </c>
      <c r="O111" s="196">
        <f t="shared" si="24"/>
        <v>64.44444444444444</v>
      </c>
      <c r="P111" s="91" t="s">
        <v>139</v>
      </c>
      <c r="Q111" s="91" t="s">
        <v>321</v>
      </c>
      <c r="R111" s="88">
        <v>3750000</v>
      </c>
      <c r="S111" s="88">
        <v>22950000</v>
      </c>
      <c r="T111" s="88">
        <f>R111+S111</f>
        <v>26700000</v>
      </c>
      <c r="U111" s="205">
        <f t="shared" si="23"/>
        <v>23.733333333333334</v>
      </c>
      <c r="V111" s="8">
        <f>J111-T111</f>
        <v>85800000</v>
      </c>
      <c r="W111" s="189">
        <f t="shared" si="26"/>
        <v>76.26666666666667</v>
      </c>
      <c r="X111" s="7"/>
      <c r="Y111" s="38"/>
      <c r="Z111" s="46"/>
      <c r="AA111" s="44"/>
      <c r="AB111" s="44"/>
      <c r="AC111" s="44"/>
      <c r="AD111" s="44"/>
      <c r="AE111" s="44"/>
      <c r="AF111" s="44"/>
      <c r="AG111" s="44"/>
      <c r="AH111" s="44"/>
      <c r="AI111" s="44"/>
    </row>
    <row r="112" spans="1:35" s="26" customFormat="1" ht="13.5">
      <c r="A112" s="10"/>
      <c r="B112" s="95" t="s">
        <v>105</v>
      </c>
      <c r="C112" s="10" t="s">
        <v>132</v>
      </c>
      <c r="D112" s="102" t="s">
        <v>37</v>
      </c>
      <c r="E112" s="102" t="s">
        <v>310</v>
      </c>
      <c r="F112" s="84" t="s">
        <v>75</v>
      </c>
      <c r="G112" s="10" t="s">
        <v>28</v>
      </c>
      <c r="H112" s="102" t="s">
        <v>5</v>
      </c>
      <c r="I112" s="10"/>
      <c r="J112" s="98">
        <f>J113</f>
        <v>52500000</v>
      </c>
      <c r="K112" s="103"/>
      <c r="L112" s="104"/>
      <c r="M112" s="105"/>
      <c r="N112" s="110">
        <f>N113</f>
        <v>52500000</v>
      </c>
      <c r="O112" s="195">
        <f>N112/J112*100</f>
        <v>100</v>
      </c>
      <c r="P112" s="170" t="s">
        <v>139</v>
      </c>
      <c r="Q112" s="170" t="s">
        <v>321</v>
      </c>
      <c r="R112" s="89">
        <f>R113</f>
        <v>4575000</v>
      </c>
      <c r="S112" s="89">
        <f>S113</f>
        <v>31210561</v>
      </c>
      <c r="T112" s="89">
        <f>T113</f>
        <v>35785561</v>
      </c>
      <c r="U112" s="204">
        <f t="shared" si="23"/>
        <v>68.16297333333333</v>
      </c>
      <c r="V112" s="86">
        <f>V113</f>
        <v>16714439</v>
      </c>
      <c r="W112" s="189">
        <f t="shared" si="26"/>
        <v>31.837026666666667</v>
      </c>
      <c r="X112" s="105"/>
      <c r="Y112" s="106"/>
      <c r="Z112" s="45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s="25" customFormat="1" ht="13.5">
      <c r="A113" s="9"/>
      <c r="B113" s="74" t="s">
        <v>246</v>
      </c>
      <c r="C113" s="9" t="s">
        <v>138</v>
      </c>
      <c r="D113" s="5" t="s">
        <v>37</v>
      </c>
      <c r="E113" s="5" t="s">
        <v>310</v>
      </c>
      <c r="F113" s="84" t="s">
        <v>75</v>
      </c>
      <c r="G113" s="9" t="s">
        <v>28</v>
      </c>
      <c r="H113" s="5" t="s">
        <v>5</v>
      </c>
      <c r="I113" s="9"/>
      <c r="J113" s="11">
        <v>52500000</v>
      </c>
      <c r="K113" s="36"/>
      <c r="L113" s="37"/>
      <c r="M113" s="7" t="s">
        <v>78</v>
      </c>
      <c r="N113" s="112">
        <f>8000000+8000000+41450000-4950000</f>
        <v>52500000</v>
      </c>
      <c r="O113" s="196">
        <f t="shared" si="24"/>
        <v>100</v>
      </c>
      <c r="P113" s="91" t="s">
        <v>139</v>
      </c>
      <c r="Q113" s="91" t="s">
        <v>309</v>
      </c>
      <c r="R113" s="88">
        <v>4575000</v>
      </c>
      <c r="S113" s="88">
        <v>31210561</v>
      </c>
      <c r="T113" s="88">
        <f>R113+S113</f>
        <v>35785561</v>
      </c>
      <c r="U113" s="205">
        <f t="shared" si="23"/>
        <v>68.16297333333333</v>
      </c>
      <c r="V113" s="8">
        <f>J113-T113</f>
        <v>16714439</v>
      </c>
      <c r="W113" s="189">
        <f>V113/J113*100</f>
        <v>31.837026666666667</v>
      </c>
      <c r="X113" s="7"/>
      <c r="Y113" s="38"/>
      <c r="Z113" s="46"/>
      <c r="AA113" s="44"/>
      <c r="AB113" s="44"/>
      <c r="AC113" s="44"/>
      <c r="AD113" s="44"/>
      <c r="AE113" s="44"/>
      <c r="AF113" s="44"/>
      <c r="AG113" s="44"/>
      <c r="AH113" s="44"/>
      <c r="AI113" s="44"/>
    </row>
    <row r="114" spans="1:35" s="140" customFormat="1" ht="27">
      <c r="A114" s="130">
        <v>2</v>
      </c>
      <c r="B114" s="143" t="s">
        <v>247</v>
      </c>
      <c r="C114" s="130" t="s">
        <v>77</v>
      </c>
      <c r="D114" s="132"/>
      <c r="E114" s="132"/>
      <c r="F114" s="132"/>
      <c r="G114" s="130"/>
      <c r="H114" s="132"/>
      <c r="I114" s="130"/>
      <c r="J114" s="133">
        <f>J115</f>
        <v>85250000</v>
      </c>
      <c r="K114" s="134"/>
      <c r="L114" s="135"/>
      <c r="M114" s="136"/>
      <c r="N114" s="137">
        <f>N115</f>
        <v>77137000</v>
      </c>
      <c r="O114" s="194">
        <f>N114/J114*100</f>
        <v>90.483284457478</v>
      </c>
      <c r="P114" s="168"/>
      <c r="Q114" s="168"/>
      <c r="R114" s="138">
        <f>R115</f>
        <v>9350000</v>
      </c>
      <c r="S114" s="138">
        <f>S115</f>
        <v>11000000</v>
      </c>
      <c r="T114" s="138">
        <f>T115</f>
        <v>20350000</v>
      </c>
      <c r="U114" s="202">
        <f t="shared" si="23"/>
        <v>23.870967741935484</v>
      </c>
      <c r="V114" s="139">
        <f>V115</f>
        <v>64900000</v>
      </c>
      <c r="W114" s="187">
        <f>T114/J114*100</f>
        <v>23.870967741935484</v>
      </c>
      <c r="X114" s="139"/>
      <c r="Y114" s="106"/>
      <c r="Z114" s="45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s="126" customFormat="1" ht="13.5">
      <c r="A115" s="118"/>
      <c r="B115" s="129" t="s">
        <v>79</v>
      </c>
      <c r="C115" s="118"/>
      <c r="D115" s="120"/>
      <c r="E115" s="120"/>
      <c r="F115" s="120"/>
      <c r="G115" s="118"/>
      <c r="H115" s="120"/>
      <c r="I115" s="118"/>
      <c r="J115" s="121">
        <f>J116</f>
        <v>85250000</v>
      </c>
      <c r="K115" s="121"/>
      <c r="L115" s="121"/>
      <c r="M115" s="121"/>
      <c r="N115" s="121">
        <f aca="true" t="shared" si="27" ref="N115:W115">N116</f>
        <v>77137000</v>
      </c>
      <c r="O115" s="128">
        <f t="shared" si="24"/>
        <v>90.483284457478</v>
      </c>
      <c r="P115" s="121"/>
      <c r="Q115" s="121"/>
      <c r="R115" s="123">
        <f t="shared" si="27"/>
        <v>9350000</v>
      </c>
      <c r="S115" s="123">
        <f t="shared" si="27"/>
        <v>11000000</v>
      </c>
      <c r="T115" s="123">
        <f t="shared" si="27"/>
        <v>20350000</v>
      </c>
      <c r="U115" s="121">
        <f>U116</f>
        <v>23.870967741935484</v>
      </c>
      <c r="V115" s="121">
        <f t="shared" si="27"/>
        <v>64900000</v>
      </c>
      <c r="W115" s="121">
        <f t="shared" si="27"/>
        <v>76.12903225806451</v>
      </c>
      <c r="X115" s="121"/>
      <c r="Y115" s="106"/>
      <c r="Z115" s="45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s="26" customFormat="1" ht="13.5">
      <c r="A116" s="10"/>
      <c r="B116" s="96" t="s">
        <v>93</v>
      </c>
      <c r="C116" s="10" t="s">
        <v>119</v>
      </c>
      <c r="D116" s="102" t="s">
        <v>37</v>
      </c>
      <c r="E116" s="102" t="s">
        <v>140</v>
      </c>
      <c r="F116" s="102" t="s">
        <v>75</v>
      </c>
      <c r="G116" s="10" t="s">
        <v>28</v>
      </c>
      <c r="H116" s="102" t="s">
        <v>5</v>
      </c>
      <c r="I116" s="10"/>
      <c r="J116" s="98">
        <f>J117</f>
        <v>85250000</v>
      </c>
      <c r="K116" s="103"/>
      <c r="L116" s="104"/>
      <c r="M116" s="105" t="s">
        <v>78</v>
      </c>
      <c r="N116" s="110">
        <f>N117</f>
        <v>77137000</v>
      </c>
      <c r="O116" s="195">
        <f t="shared" si="24"/>
        <v>90.483284457478</v>
      </c>
      <c r="P116" s="170" t="s">
        <v>139</v>
      </c>
      <c r="Q116" s="170" t="s">
        <v>321</v>
      </c>
      <c r="R116" s="89">
        <f>R117</f>
        <v>9350000</v>
      </c>
      <c r="S116" s="89">
        <f>S117</f>
        <v>11000000</v>
      </c>
      <c r="T116" s="89">
        <f>T117</f>
        <v>20350000</v>
      </c>
      <c r="U116" s="204">
        <f>T116/J116*100</f>
        <v>23.870967741935484</v>
      </c>
      <c r="V116" s="86">
        <f>V117</f>
        <v>64900000</v>
      </c>
      <c r="W116" s="189">
        <f>V116/J116*100</f>
        <v>76.12903225806451</v>
      </c>
      <c r="X116" s="105"/>
      <c r="Y116" s="106"/>
      <c r="Z116" s="45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s="25" customFormat="1" ht="13.5">
      <c r="A117" s="9"/>
      <c r="B117" s="97" t="s">
        <v>202</v>
      </c>
      <c r="C117" s="9" t="s">
        <v>120</v>
      </c>
      <c r="D117" s="5" t="s">
        <v>37</v>
      </c>
      <c r="E117" s="5" t="s">
        <v>140</v>
      </c>
      <c r="F117" s="5" t="s">
        <v>75</v>
      </c>
      <c r="G117" s="9" t="s">
        <v>28</v>
      </c>
      <c r="H117" s="5" t="s">
        <v>5</v>
      </c>
      <c r="I117" s="9"/>
      <c r="J117" s="11">
        <v>85250000</v>
      </c>
      <c r="K117" s="36"/>
      <c r="L117" s="37"/>
      <c r="M117" s="7" t="s">
        <v>78</v>
      </c>
      <c r="N117" s="112">
        <f>24979000+24979000+24979000+2200000+0</f>
        <v>77137000</v>
      </c>
      <c r="O117" s="196">
        <f t="shared" si="24"/>
        <v>90.483284457478</v>
      </c>
      <c r="P117" s="91" t="s">
        <v>139</v>
      </c>
      <c r="Q117" s="91" t="s">
        <v>321</v>
      </c>
      <c r="R117" s="88">
        <v>9350000</v>
      </c>
      <c r="S117" s="88">
        <v>11000000</v>
      </c>
      <c r="T117" s="88">
        <f>R117+S117</f>
        <v>20350000</v>
      </c>
      <c r="U117" s="205">
        <f>T117/J117*100</f>
        <v>23.870967741935484</v>
      </c>
      <c r="V117" s="8">
        <f>J117-T117</f>
        <v>64900000</v>
      </c>
      <c r="W117" s="189">
        <f>V117/J117*100</f>
        <v>76.12903225806451</v>
      </c>
      <c r="X117" s="7"/>
      <c r="Y117" s="38"/>
      <c r="Z117" s="46"/>
      <c r="AA117" s="44"/>
      <c r="AB117" s="44"/>
      <c r="AC117" s="44"/>
      <c r="AD117" s="44"/>
      <c r="AE117" s="44"/>
      <c r="AF117" s="44"/>
      <c r="AG117" s="44"/>
      <c r="AH117" s="44"/>
      <c r="AI117" s="44"/>
    </row>
    <row r="118" spans="1:35" s="26" customFormat="1" ht="27">
      <c r="A118" s="130">
        <v>3</v>
      </c>
      <c r="B118" s="143" t="s">
        <v>248</v>
      </c>
      <c r="C118" s="130"/>
      <c r="D118" s="132"/>
      <c r="E118" s="132"/>
      <c r="F118" s="132"/>
      <c r="G118" s="130"/>
      <c r="H118" s="132"/>
      <c r="I118" s="130"/>
      <c r="J118" s="133">
        <f>J119</f>
        <v>943155000</v>
      </c>
      <c r="K118" s="134"/>
      <c r="L118" s="135"/>
      <c r="M118" s="139"/>
      <c r="N118" s="137">
        <f>N119</f>
        <v>645000000</v>
      </c>
      <c r="O118" s="194"/>
      <c r="P118" s="168"/>
      <c r="Q118" s="168"/>
      <c r="R118" s="138">
        <f>R119</f>
        <v>11100000</v>
      </c>
      <c r="S118" s="138">
        <f>S119</f>
        <v>333150700</v>
      </c>
      <c r="T118" s="138">
        <f>T119</f>
        <v>344250700</v>
      </c>
      <c r="U118" s="202">
        <f>T118/J118*100</f>
        <v>36.49990722627776</v>
      </c>
      <c r="V118" s="139">
        <f>V119</f>
        <v>598904300</v>
      </c>
      <c r="W118" s="187"/>
      <c r="X118" s="139"/>
      <c r="Y118" s="106"/>
      <c r="Z118" s="45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s="26" customFormat="1" ht="13.5">
      <c r="A119" s="118"/>
      <c r="B119" s="129" t="s">
        <v>79</v>
      </c>
      <c r="C119" s="118"/>
      <c r="D119" s="120"/>
      <c r="E119" s="120"/>
      <c r="F119" s="120"/>
      <c r="G119" s="118"/>
      <c r="H119" s="120"/>
      <c r="I119" s="118"/>
      <c r="J119" s="121">
        <f>J120</f>
        <v>943155000</v>
      </c>
      <c r="K119" s="121"/>
      <c r="L119" s="121"/>
      <c r="M119" s="121"/>
      <c r="N119" s="121">
        <f aca="true" t="shared" si="28" ref="N119:W119">N120</f>
        <v>645000000</v>
      </c>
      <c r="O119" s="121">
        <f t="shared" si="28"/>
        <v>68.38748668034417</v>
      </c>
      <c r="P119" s="121"/>
      <c r="Q119" s="121"/>
      <c r="R119" s="123">
        <f t="shared" si="28"/>
        <v>11100000</v>
      </c>
      <c r="S119" s="123">
        <f t="shared" si="28"/>
        <v>333150700</v>
      </c>
      <c r="T119" s="123">
        <f t="shared" si="28"/>
        <v>344250700</v>
      </c>
      <c r="U119" s="121">
        <f>U120</f>
        <v>36.49990722627776</v>
      </c>
      <c r="V119" s="121">
        <f t="shared" si="28"/>
        <v>598904300</v>
      </c>
      <c r="W119" s="121">
        <f t="shared" si="28"/>
        <v>63.50009277372224</v>
      </c>
      <c r="X119" s="121"/>
      <c r="Y119" s="106"/>
      <c r="Z119" s="45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s="25" customFormat="1" ht="13.5">
      <c r="A120" s="10"/>
      <c r="B120" s="96" t="s">
        <v>93</v>
      </c>
      <c r="C120" s="10" t="s">
        <v>119</v>
      </c>
      <c r="D120" s="102" t="s">
        <v>37</v>
      </c>
      <c r="E120" s="102" t="s">
        <v>140</v>
      </c>
      <c r="F120" s="102" t="s">
        <v>75</v>
      </c>
      <c r="G120" s="10" t="s">
        <v>28</v>
      </c>
      <c r="H120" s="102" t="s">
        <v>5</v>
      </c>
      <c r="I120" s="10"/>
      <c r="J120" s="98">
        <f>J121+J122</f>
        <v>943155000</v>
      </c>
      <c r="K120" s="103"/>
      <c r="L120" s="104"/>
      <c r="M120" s="105"/>
      <c r="N120" s="110">
        <f>N121</f>
        <v>645000000</v>
      </c>
      <c r="O120" s="195">
        <f t="shared" si="24"/>
        <v>68.38748668034417</v>
      </c>
      <c r="P120" s="170" t="s">
        <v>139</v>
      </c>
      <c r="Q120" s="170" t="s">
        <v>321</v>
      </c>
      <c r="R120" s="89">
        <f>R121</f>
        <v>11100000</v>
      </c>
      <c r="S120" s="89">
        <f>S121</f>
        <v>333150700</v>
      </c>
      <c r="T120" s="89">
        <f>T121</f>
        <v>344250700</v>
      </c>
      <c r="U120" s="204">
        <f aca="true" t="shared" si="29" ref="U120:U139">T120/J120*100</f>
        <v>36.49990722627776</v>
      </c>
      <c r="V120" s="86">
        <f>V121+V122</f>
        <v>598904300</v>
      </c>
      <c r="W120" s="189">
        <f aca="true" t="shared" si="30" ref="W120:W142">V120/J120*100</f>
        <v>63.50009277372224</v>
      </c>
      <c r="X120" s="105"/>
      <c r="Y120" s="38"/>
      <c r="Z120" s="46"/>
      <c r="AA120" s="44"/>
      <c r="AB120" s="44"/>
      <c r="AC120" s="44"/>
      <c r="AD120" s="44"/>
      <c r="AE120" s="44"/>
      <c r="AF120" s="44"/>
      <c r="AG120" s="44"/>
      <c r="AH120" s="44"/>
      <c r="AI120" s="44"/>
    </row>
    <row r="121" spans="1:35" s="25" customFormat="1" ht="13.5">
      <c r="A121" s="9"/>
      <c r="B121" s="247" t="s">
        <v>203</v>
      </c>
      <c r="C121" s="9" t="s">
        <v>121</v>
      </c>
      <c r="D121" s="5" t="s">
        <v>37</v>
      </c>
      <c r="E121" s="5" t="s">
        <v>140</v>
      </c>
      <c r="F121" s="5" t="s">
        <v>75</v>
      </c>
      <c r="G121" s="9" t="s">
        <v>28</v>
      </c>
      <c r="H121" s="5" t="s">
        <v>5</v>
      </c>
      <c r="I121" s="9"/>
      <c r="J121" s="11">
        <v>943155000</v>
      </c>
      <c r="K121" s="36"/>
      <c r="L121" s="37"/>
      <c r="M121" s="7" t="s">
        <v>78</v>
      </c>
      <c r="N121" s="112">
        <f>150000000+150000000+150000000+150000000+45000000</f>
        <v>645000000</v>
      </c>
      <c r="O121" s="196">
        <f>N121/J121*100</f>
        <v>68.38748668034417</v>
      </c>
      <c r="P121" s="91" t="s">
        <v>139</v>
      </c>
      <c r="Q121" s="91" t="s">
        <v>321</v>
      </c>
      <c r="R121" s="88">
        <v>11100000</v>
      </c>
      <c r="S121" s="88">
        <v>333150700</v>
      </c>
      <c r="T121" s="88">
        <f>R121+S121</f>
        <v>344250700</v>
      </c>
      <c r="U121" s="205">
        <f t="shared" si="29"/>
        <v>36.49990722627776</v>
      </c>
      <c r="V121" s="8">
        <f>J121-T121</f>
        <v>598904300</v>
      </c>
      <c r="W121" s="189">
        <f t="shared" si="30"/>
        <v>63.50009277372224</v>
      </c>
      <c r="X121" s="7"/>
      <c r="Y121" s="38"/>
      <c r="Z121" s="46"/>
      <c r="AA121" s="44"/>
      <c r="AB121" s="44"/>
      <c r="AC121" s="44"/>
      <c r="AD121" s="44"/>
      <c r="AE121" s="44"/>
      <c r="AF121" s="44"/>
      <c r="AG121" s="44"/>
      <c r="AH121" s="44"/>
      <c r="AI121" s="44"/>
    </row>
    <row r="122" spans="1:35" s="25" customFormat="1" ht="13.5">
      <c r="A122" s="9"/>
      <c r="B122" s="247" t="s">
        <v>249</v>
      </c>
      <c r="C122" s="9" t="s">
        <v>250</v>
      </c>
      <c r="D122" s="5" t="s">
        <v>37</v>
      </c>
      <c r="E122" s="5" t="s">
        <v>308</v>
      </c>
      <c r="F122" s="5" t="s">
        <v>75</v>
      </c>
      <c r="G122" s="9" t="s">
        <v>28</v>
      </c>
      <c r="H122" s="5" t="s">
        <v>5</v>
      </c>
      <c r="I122" s="9"/>
      <c r="J122" s="11">
        <v>0</v>
      </c>
      <c r="K122" s="36"/>
      <c r="L122" s="37"/>
      <c r="M122" s="7" t="s">
        <v>78</v>
      </c>
      <c r="N122" s="112">
        <f>210309000-210309000</f>
        <v>0</v>
      </c>
      <c r="O122" s="196">
        <v>0</v>
      </c>
      <c r="P122" s="91" t="s">
        <v>309</v>
      </c>
      <c r="Q122" s="91" t="s">
        <v>321</v>
      </c>
      <c r="R122" s="88"/>
      <c r="S122" s="88"/>
      <c r="T122" s="88"/>
      <c r="U122" s="204">
        <v>0</v>
      </c>
      <c r="V122" s="8">
        <f>J122-T122</f>
        <v>0</v>
      </c>
      <c r="W122" s="189">
        <v>0</v>
      </c>
      <c r="X122" s="7"/>
      <c r="Y122" s="38"/>
      <c r="Z122" s="46"/>
      <c r="AA122" s="44"/>
      <c r="AB122" s="44"/>
      <c r="AC122" s="44"/>
      <c r="AD122" s="44"/>
      <c r="AE122" s="44"/>
      <c r="AF122" s="44"/>
      <c r="AG122" s="44"/>
      <c r="AH122" s="44"/>
      <c r="AI122" s="44"/>
    </row>
    <row r="123" spans="1:35" s="126" customFormat="1" ht="27">
      <c r="A123" s="132">
        <v>4</v>
      </c>
      <c r="B123" s="131" t="s">
        <v>251</v>
      </c>
      <c r="C123" s="130" t="s">
        <v>130</v>
      </c>
      <c r="D123" s="132"/>
      <c r="E123" s="132"/>
      <c r="F123" s="213"/>
      <c r="G123" s="130"/>
      <c r="H123" s="132"/>
      <c r="I123" s="132"/>
      <c r="J123" s="136">
        <f>J124+J140</f>
        <v>1329533600</v>
      </c>
      <c r="K123" s="136"/>
      <c r="L123" s="136"/>
      <c r="M123" s="136"/>
      <c r="N123" s="136">
        <f>N124+N140</f>
        <v>688151600</v>
      </c>
      <c r="O123" s="136">
        <f>N123/J123*100</f>
        <v>51.758872434664305</v>
      </c>
      <c r="P123" s="136"/>
      <c r="Q123" s="136" t="s">
        <v>321</v>
      </c>
      <c r="R123" s="138">
        <f>R124+R140</f>
        <v>102956300</v>
      </c>
      <c r="S123" s="138">
        <f>S124+S140</f>
        <v>523618500</v>
      </c>
      <c r="T123" s="138">
        <f>T124+T140</f>
        <v>626574800</v>
      </c>
      <c r="U123" s="136">
        <f t="shared" si="29"/>
        <v>47.127413703572444</v>
      </c>
      <c r="V123" s="136">
        <f>V124+V140</f>
        <v>702958800</v>
      </c>
      <c r="W123" s="136">
        <f t="shared" si="30"/>
        <v>52.872586296427556</v>
      </c>
      <c r="X123" s="136"/>
      <c r="Y123" s="51"/>
      <c r="Z123" s="45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s="26" customFormat="1" ht="13.5">
      <c r="A124" s="120"/>
      <c r="B124" s="141" t="s">
        <v>79</v>
      </c>
      <c r="C124" s="118"/>
      <c r="D124" s="120"/>
      <c r="E124" s="120"/>
      <c r="F124" s="216"/>
      <c r="G124" s="118"/>
      <c r="H124" s="120"/>
      <c r="I124" s="120"/>
      <c r="J124" s="122">
        <f>J125+J129+J131+J133+J135+J137</f>
        <v>1300433600</v>
      </c>
      <c r="K124" s="122"/>
      <c r="L124" s="122"/>
      <c r="M124" s="122"/>
      <c r="N124" s="122">
        <f>N125+N129+N131+N133+N135+N137</f>
        <v>659051600</v>
      </c>
      <c r="O124" s="122">
        <f>N124/J124*100</f>
        <v>50.67937340284041</v>
      </c>
      <c r="P124" s="122"/>
      <c r="Q124" s="122"/>
      <c r="R124" s="124">
        <f>R125+R129+R131+R133+R135+R137</f>
        <v>102956300</v>
      </c>
      <c r="S124" s="124">
        <f>S125+S129+S131+S133+S135+S137</f>
        <v>494518500</v>
      </c>
      <c r="T124" s="124">
        <f>T125+T129+T131+T133+T135+T137</f>
        <v>597474800</v>
      </c>
      <c r="U124" s="122">
        <f t="shared" si="29"/>
        <v>45.94427581692752</v>
      </c>
      <c r="V124" s="122">
        <f>V125+V129+V131+V133+V135+V137</f>
        <v>702958800</v>
      </c>
      <c r="W124" s="122">
        <f t="shared" si="30"/>
        <v>54.05572418307247</v>
      </c>
      <c r="X124" s="122"/>
      <c r="Y124" s="51"/>
      <c r="Z124" s="45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s="26" customFormat="1" ht="13.5">
      <c r="A125" s="107"/>
      <c r="B125" s="242" t="s">
        <v>252</v>
      </c>
      <c r="C125" s="108" t="s">
        <v>112</v>
      </c>
      <c r="D125" s="107" t="s">
        <v>76</v>
      </c>
      <c r="E125" s="107" t="s">
        <v>306</v>
      </c>
      <c r="F125" s="107" t="s">
        <v>75</v>
      </c>
      <c r="G125" s="10" t="s">
        <v>28</v>
      </c>
      <c r="H125" s="102" t="s">
        <v>5</v>
      </c>
      <c r="I125" s="107"/>
      <c r="J125" s="85">
        <f>SUM(J126:J128)</f>
        <v>202230200</v>
      </c>
      <c r="K125" s="85"/>
      <c r="L125" s="85"/>
      <c r="M125" s="85"/>
      <c r="N125" s="85">
        <f aca="true" t="shared" si="31" ref="N125:V125">SUM(N126:N128)</f>
        <v>177960200</v>
      </c>
      <c r="O125" s="85">
        <f>N125/J125*100</f>
        <v>87.99882510129545</v>
      </c>
      <c r="P125" s="170" t="s">
        <v>139</v>
      </c>
      <c r="Q125" s="170" t="s">
        <v>321</v>
      </c>
      <c r="R125" s="89">
        <f t="shared" si="31"/>
        <v>2440000</v>
      </c>
      <c r="S125" s="89">
        <f t="shared" si="31"/>
        <v>165834200</v>
      </c>
      <c r="T125" s="89">
        <f t="shared" si="31"/>
        <v>168274200</v>
      </c>
      <c r="U125" s="85">
        <f t="shared" si="29"/>
        <v>83.20923383352239</v>
      </c>
      <c r="V125" s="85">
        <f t="shared" si="31"/>
        <v>33956000</v>
      </c>
      <c r="W125" s="85">
        <f t="shared" si="30"/>
        <v>16.790766166477606</v>
      </c>
      <c r="X125" s="85"/>
      <c r="Y125" s="51"/>
      <c r="Z125" s="45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s="25" customFormat="1" ht="27">
      <c r="A126" s="84"/>
      <c r="B126" s="247" t="s">
        <v>253</v>
      </c>
      <c r="C126" s="87" t="s">
        <v>267</v>
      </c>
      <c r="D126" s="84" t="s">
        <v>76</v>
      </c>
      <c r="E126" s="84" t="s">
        <v>306</v>
      </c>
      <c r="F126" s="84" t="s">
        <v>75</v>
      </c>
      <c r="G126" s="9" t="s">
        <v>28</v>
      </c>
      <c r="H126" s="5" t="s">
        <v>5</v>
      </c>
      <c r="I126" s="84"/>
      <c r="J126" s="39">
        <v>85857000</v>
      </c>
      <c r="K126" s="39"/>
      <c r="L126" s="39"/>
      <c r="M126" s="7" t="s">
        <v>221</v>
      </c>
      <c r="N126" s="88">
        <v>85857000</v>
      </c>
      <c r="O126" s="39">
        <f aca="true" t="shared" si="32" ref="O126:O142">N126/J126*100</f>
        <v>100</v>
      </c>
      <c r="P126" s="91" t="s">
        <v>139</v>
      </c>
      <c r="Q126" s="91" t="s">
        <v>139</v>
      </c>
      <c r="R126" s="88"/>
      <c r="S126" s="88">
        <v>85680000</v>
      </c>
      <c r="T126" s="88">
        <f>R126+S126</f>
        <v>85680000</v>
      </c>
      <c r="U126" s="39">
        <f t="shared" si="29"/>
        <v>99.7938432509871</v>
      </c>
      <c r="V126" s="8">
        <f>J126-T126</f>
        <v>177000</v>
      </c>
      <c r="W126" s="39">
        <f t="shared" si="30"/>
        <v>0.20615674901289355</v>
      </c>
      <c r="X126" s="39"/>
      <c r="Y126" s="166"/>
      <c r="Z126" s="46"/>
      <c r="AA126" s="44"/>
      <c r="AB126" s="44"/>
      <c r="AC126" s="44"/>
      <c r="AD126" s="44"/>
      <c r="AE126" s="44"/>
      <c r="AF126" s="44"/>
      <c r="AG126" s="44"/>
      <c r="AH126" s="44"/>
      <c r="AI126" s="44"/>
    </row>
    <row r="127" spans="1:35" s="25" customFormat="1" ht="13.5">
      <c r="A127" s="84"/>
      <c r="B127" s="247" t="s">
        <v>254</v>
      </c>
      <c r="C127" s="87" t="s">
        <v>109</v>
      </c>
      <c r="D127" s="84" t="s">
        <v>76</v>
      </c>
      <c r="E127" s="84" t="s">
        <v>306</v>
      </c>
      <c r="F127" s="84" t="s">
        <v>75</v>
      </c>
      <c r="G127" s="9" t="s">
        <v>28</v>
      </c>
      <c r="H127" s="5" t="s">
        <v>5</v>
      </c>
      <c r="I127" s="84"/>
      <c r="J127" s="39">
        <v>74773200</v>
      </c>
      <c r="K127" s="39"/>
      <c r="L127" s="39"/>
      <c r="M127" s="7" t="s">
        <v>221</v>
      </c>
      <c r="N127" s="88">
        <v>74773200</v>
      </c>
      <c r="O127" s="39">
        <f t="shared" si="32"/>
        <v>100</v>
      </c>
      <c r="P127" s="91" t="s">
        <v>139</v>
      </c>
      <c r="Q127" s="91" t="s">
        <v>139</v>
      </c>
      <c r="R127" s="88"/>
      <c r="S127" s="88">
        <v>74074200</v>
      </c>
      <c r="T127" s="88">
        <f>R127+S127</f>
        <v>74074200</v>
      </c>
      <c r="U127" s="39">
        <f t="shared" si="29"/>
        <v>99.06517308340422</v>
      </c>
      <c r="V127" s="8">
        <f>J127-T127</f>
        <v>699000</v>
      </c>
      <c r="W127" s="39">
        <f t="shared" si="30"/>
        <v>0.9348269165957857</v>
      </c>
      <c r="X127" s="39"/>
      <c r="Y127" s="166"/>
      <c r="Z127" s="46"/>
      <c r="AA127" s="44"/>
      <c r="AB127" s="44"/>
      <c r="AC127" s="44"/>
      <c r="AD127" s="44"/>
      <c r="AE127" s="44"/>
      <c r="AF127" s="44"/>
      <c r="AG127" s="44"/>
      <c r="AH127" s="44"/>
      <c r="AI127" s="44"/>
    </row>
    <row r="128" spans="1:35" s="25" customFormat="1" ht="13.5">
      <c r="A128" s="84"/>
      <c r="B128" s="247" t="s">
        <v>255</v>
      </c>
      <c r="C128" s="87" t="s">
        <v>268</v>
      </c>
      <c r="D128" s="84" t="s">
        <v>76</v>
      </c>
      <c r="E128" s="84" t="s">
        <v>140</v>
      </c>
      <c r="F128" s="84" t="s">
        <v>75</v>
      </c>
      <c r="G128" s="9" t="s">
        <v>28</v>
      </c>
      <c r="H128" s="5" t="s">
        <v>5</v>
      </c>
      <c r="I128" s="84"/>
      <c r="J128" s="39">
        <v>41600000</v>
      </c>
      <c r="K128" s="39"/>
      <c r="L128" s="39"/>
      <c r="M128" s="7" t="s">
        <v>78</v>
      </c>
      <c r="N128" s="88">
        <f>3466000+3466000+3466000+3466000+3466000</f>
        <v>17330000</v>
      </c>
      <c r="O128" s="39">
        <f t="shared" si="32"/>
        <v>41.65865384615385</v>
      </c>
      <c r="P128" s="91" t="s">
        <v>139</v>
      </c>
      <c r="Q128" s="91" t="s">
        <v>321</v>
      </c>
      <c r="R128" s="88">
        <v>2440000</v>
      </c>
      <c r="S128" s="88">
        <v>6080000</v>
      </c>
      <c r="T128" s="88">
        <f>R128+S128</f>
        <v>8520000</v>
      </c>
      <c r="U128" s="39">
        <f t="shared" si="29"/>
        <v>20.48076923076923</v>
      </c>
      <c r="V128" s="8">
        <f>J128-T128</f>
        <v>33080000</v>
      </c>
      <c r="W128" s="39">
        <f t="shared" si="30"/>
        <v>79.51923076923076</v>
      </c>
      <c r="X128" s="39"/>
      <c r="Y128" s="166"/>
      <c r="Z128" s="46"/>
      <c r="AA128" s="44"/>
      <c r="AB128" s="44"/>
      <c r="AC128" s="44"/>
      <c r="AD128" s="44"/>
      <c r="AE128" s="44"/>
      <c r="AF128" s="44"/>
      <c r="AG128" s="44"/>
      <c r="AH128" s="44"/>
      <c r="AI128" s="44"/>
    </row>
    <row r="129" spans="1:35" s="26" customFormat="1" ht="13.5">
      <c r="A129" s="107"/>
      <c r="B129" s="242" t="s">
        <v>256</v>
      </c>
      <c r="C129" s="108" t="s">
        <v>269</v>
      </c>
      <c r="D129" s="107" t="s">
        <v>76</v>
      </c>
      <c r="E129" s="107" t="s">
        <v>306</v>
      </c>
      <c r="F129" s="107" t="s">
        <v>75</v>
      </c>
      <c r="G129" s="10" t="s">
        <v>28</v>
      </c>
      <c r="H129" s="102" t="s">
        <v>5</v>
      </c>
      <c r="I129" s="107"/>
      <c r="J129" s="85">
        <f>J130</f>
        <v>566600000</v>
      </c>
      <c r="K129" s="85"/>
      <c r="L129" s="85"/>
      <c r="M129" s="85"/>
      <c r="N129" s="85">
        <f aca="true" t="shared" si="33" ref="N129:V129">N130</f>
        <v>236088000</v>
      </c>
      <c r="O129" s="85">
        <f t="shared" si="32"/>
        <v>41.66749029297564</v>
      </c>
      <c r="P129" s="170" t="s">
        <v>139</v>
      </c>
      <c r="Q129" s="170" t="s">
        <v>321</v>
      </c>
      <c r="R129" s="89">
        <f t="shared" si="33"/>
        <v>47155800</v>
      </c>
      <c r="S129" s="89">
        <f t="shared" si="33"/>
        <v>141280900</v>
      </c>
      <c r="T129" s="89">
        <f t="shared" si="33"/>
        <v>188436700</v>
      </c>
      <c r="U129" s="85">
        <f t="shared" si="29"/>
        <v>33.25744793505118</v>
      </c>
      <c r="V129" s="85">
        <f t="shared" si="33"/>
        <v>378163300</v>
      </c>
      <c r="W129" s="85">
        <f t="shared" si="30"/>
        <v>66.74255206494881</v>
      </c>
      <c r="X129" s="85"/>
      <c r="Y129" s="51"/>
      <c r="Z129" s="45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s="25" customFormat="1" ht="13.5">
      <c r="A130" s="84"/>
      <c r="B130" s="247" t="s">
        <v>257</v>
      </c>
      <c r="C130" s="87" t="s">
        <v>270</v>
      </c>
      <c r="D130" s="84" t="s">
        <v>76</v>
      </c>
      <c r="E130" s="84" t="s">
        <v>306</v>
      </c>
      <c r="F130" s="84" t="s">
        <v>75</v>
      </c>
      <c r="G130" s="9" t="s">
        <v>28</v>
      </c>
      <c r="H130" s="5" t="s">
        <v>5</v>
      </c>
      <c r="I130" s="84"/>
      <c r="J130" s="39">
        <v>566600000</v>
      </c>
      <c r="K130" s="39"/>
      <c r="L130" s="39"/>
      <c r="M130" s="7" t="s">
        <v>78</v>
      </c>
      <c r="N130" s="88">
        <f>566600000-424944000+47216000+47216000</f>
        <v>236088000</v>
      </c>
      <c r="O130" s="39">
        <f t="shared" si="32"/>
        <v>41.66749029297564</v>
      </c>
      <c r="P130" s="91" t="s">
        <v>139</v>
      </c>
      <c r="Q130" s="91" t="s">
        <v>321</v>
      </c>
      <c r="R130" s="88">
        <v>47155800</v>
      </c>
      <c r="S130" s="88">
        <v>141280900</v>
      </c>
      <c r="T130" s="88">
        <f>R130+S130</f>
        <v>188436700</v>
      </c>
      <c r="U130" s="39">
        <f t="shared" si="29"/>
        <v>33.25744793505118</v>
      </c>
      <c r="V130" s="8">
        <f>J130-T130</f>
        <v>378163300</v>
      </c>
      <c r="W130" s="39">
        <f t="shared" si="30"/>
        <v>66.74255206494881</v>
      </c>
      <c r="X130" s="39"/>
      <c r="Y130" s="166"/>
      <c r="Z130" s="46"/>
      <c r="AA130" s="44"/>
      <c r="AB130" s="44"/>
      <c r="AC130" s="44"/>
      <c r="AD130" s="44"/>
      <c r="AE130" s="44"/>
      <c r="AF130" s="44"/>
      <c r="AG130" s="44"/>
      <c r="AH130" s="44"/>
      <c r="AI130" s="44"/>
    </row>
    <row r="131" spans="1:35" s="26" customFormat="1" ht="13.5">
      <c r="A131" s="107"/>
      <c r="B131" s="242" t="s">
        <v>106</v>
      </c>
      <c r="C131" s="108" t="s">
        <v>114</v>
      </c>
      <c r="D131" s="107" t="s">
        <v>76</v>
      </c>
      <c r="E131" s="107" t="s">
        <v>140</v>
      </c>
      <c r="F131" s="107" t="s">
        <v>75</v>
      </c>
      <c r="G131" s="10" t="s">
        <v>28</v>
      </c>
      <c r="H131" s="102" t="s">
        <v>5</v>
      </c>
      <c r="I131" s="107"/>
      <c r="J131" s="85">
        <f>J132</f>
        <v>24000000</v>
      </c>
      <c r="K131" s="85"/>
      <c r="L131" s="85"/>
      <c r="M131" s="85"/>
      <c r="N131" s="85">
        <f aca="true" t="shared" si="34" ref="N131:V131">N132</f>
        <v>10000000</v>
      </c>
      <c r="O131" s="85">
        <f t="shared" si="32"/>
        <v>41.66666666666667</v>
      </c>
      <c r="P131" s="170" t="s">
        <v>139</v>
      </c>
      <c r="Q131" s="170" t="s">
        <v>321</v>
      </c>
      <c r="R131" s="89">
        <f t="shared" si="34"/>
        <v>1985500</v>
      </c>
      <c r="S131" s="89">
        <f t="shared" si="34"/>
        <v>3825000</v>
      </c>
      <c r="T131" s="89">
        <f t="shared" si="34"/>
        <v>5810500</v>
      </c>
      <c r="U131" s="85">
        <f t="shared" si="29"/>
        <v>24.210416666666667</v>
      </c>
      <c r="V131" s="85">
        <f t="shared" si="34"/>
        <v>18189500</v>
      </c>
      <c r="W131" s="85">
        <f t="shared" si="30"/>
        <v>75.78958333333333</v>
      </c>
      <c r="X131" s="85"/>
      <c r="Y131" s="51"/>
      <c r="Z131" s="45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s="25" customFormat="1" ht="13.5">
      <c r="A132" s="84"/>
      <c r="B132" s="247" t="s">
        <v>258</v>
      </c>
      <c r="C132" s="87" t="s">
        <v>271</v>
      </c>
      <c r="D132" s="84" t="s">
        <v>76</v>
      </c>
      <c r="E132" s="84" t="s">
        <v>140</v>
      </c>
      <c r="F132" s="84" t="s">
        <v>75</v>
      </c>
      <c r="G132" s="9" t="s">
        <v>28</v>
      </c>
      <c r="H132" s="5" t="s">
        <v>5</v>
      </c>
      <c r="I132" s="84"/>
      <c r="J132" s="39">
        <v>24000000</v>
      </c>
      <c r="K132" s="39"/>
      <c r="L132" s="39"/>
      <c r="M132" s="7" t="s">
        <v>78</v>
      </c>
      <c r="N132" s="88">
        <f>2000000+2000000+2000000+2000000+2000000</f>
        <v>10000000</v>
      </c>
      <c r="O132" s="39">
        <f t="shared" si="32"/>
        <v>41.66666666666667</v>
      </c>
      <c r="P132" s="91" t="s">
        <v>139</v>
      </c>
      <c r="Q132" s="91" t="s">
        <v>321</v>
      </c>
      <c r="R132" s="88">
        <v>1985500</v>
      </c>
      <c r="S132" s="88">
        <v>3825000</v>
      </c>
      <c r="T132" s="88">
        <f>R132+S132</f>
        <v>5810500</v>
      </c>
      <c r="U132" s="39">
        <f t="shared" si="29"/>
        <v>24.210416666666667</v>
      </c>
      <c r="V132" s="8">
        <f>J132-T132</f>
        <v>18189500</v>
      </c>
      <c r="W132" s="39">
        <f t="shared" si="30"/>
        <v>75.78958333333333</v>
      </c>
      <c r="X132" s="39"/>
      <c r="Y132" s="166"/>
      <c r="Z132" s="46"/>
      <c r="AA132" s="44"/>
      <c r="AB132" s="44"/>
      <c r="AC132" s="44"/>
      <c r="AD132" s="44"/>
      <c r="AE132" s="44"/>
      <c r="AF132" s="44"/>
      <c r="AG132" s="44"/>
      <c r="AH132" s="44"/>
      <c r="AI132" s="44"/>
    </row>
    <row r="133" spans="1:35" s="26" customFormat="1" ht="13.5">
      <c r="A133" s="107"/>
      <c r="B133" s="242" t="s">
        <v>259</v>
      </c>
      <c r="C133" s="108" t="s">
        <v>132</v>
      </c>
      <c r="D133" s="107" t="s">
        <v>76</v>
      </c>
      <c r="E133" s="107" t="s">
        <v>306</v>
      </c>
      <c r="F133" s="107" t="s">
        <v>75</v>
      </c>
      <c r="G133" s="10" t="s">
        <v>28</v>
      </c>
      <c r="H133" s="102" t="s">
        <v>5</v>
      </c>
      <c r="I133" s="107"/>
      <c r="J133" s="85">
        <f>J134</f>
        <v>352500000</v>
      </c>
      <c r="K133" s="85"/>
      <c r="L133" s="85"/>
      <c r="M133" s="85"/>
      <c r="N133" s="85">
        <f aca="true" t="shared" si="35" ref="N133:T133">N134</f>
        <v>142900000</v>
      </c>
      <c r="O133" s="85">
        <f t="shared" si="32"/>
        <v>40.53900709219858</v>
      </c>
      <c r="P133" s="170" t="s">
        <v>139</v>
      </c>
      <c r="Q133" s="170" t="s">
        <v>309</v>
      </c>
      <c r="R133" s="89">
        <f t="shared" si="35"/>
        <v>42375000</v>
      </c>
      <c r="S133" s="89">
        <f t="shared" si="35"/>
        <v>100525000</v>
      </c>
      <c r="T133" s="89">
        <f t="shared" si="35"/>
        <v>142900000</v>
      </c>
      <c r="U133" s="85">
        <f t="shared" si="29"/>
        <v>40.53900709219858</v>
      </c>
      <c r="V133" s="85">
        <f>V134</f>
        <v>209600000</v>
      </c>
      <c r="W133" s="85">
        <f t="shared" si="30"/>
        <v>59.46099290780141</v>
      </c>
      <c r="X133" s="85"/>
      <c r="Y133" s="51"/>
      <c r="Z133" s="45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s="25" customFormat="1" ht="13.5">
      <c r="A134" s="84"/>
      <c r="B134" s="247" t="s">
        <v>260</v>
      </c>
      <c r="C134" s="87" t="s">
        <v>133</v>
      </c>
      <c r="D134" s="84" t="s">
        <v>76</v>
      </c>
      <c r="E134" s="84" t="s">
        <v>306</v>
      </c>
      <c r="F134" s="84" t="s">
        <v>75</v>
      </c>
      <c r="G134" s="9" t="s">
        <v>28</v>
      </c>
      <c r="H134" s="5" t="s">
        <v>5</v>
      </c>
      <c r="I134" s="84"/>
      <c r="J134" s="39">
        <v>352500000</v>
      </c>
      <c r="K134" s="39"/>
      <c r="L134" s="39"/>
      <c r="M134" s="7" t="s">
        <v>78</v>
      </c>
      <c r="N134" s="88">
        <f>477000000-334100000</f>
        <v>142900000</v>
      </c>
      <c r="O134" s="39">
        <f t="shared" si="32"/>
        <v>40.53900709219858</v>
      </c>
      <c r="P134" s="91" t="s">
        <v>139</v>
      </c>
      <c r="Q134" s="91" t="s">
        <v>309</v>
      </c>
      <c r="R134" s="88">
        <v>42375000</v>
      </c>
      <c r="S134" s="88">
        <v>100525000</v>
      </c>
      <c r="T134" s="88">
        <f>R134+S134</f>
        <v>142900000</v>
      </c>
      <c r="U134" s="39">
        <f t="shared" si="29"/>
        <v>40.53900709219858</v>
      </c>
      <c r="V134" s="8">
        <f>J134-T134</f>
        <v>209600000</v>
      </c>
      <c r="W134" s="39">
        <f t="shared" si="30"/>
        <v>59.46099290780141</v>
      </c>
      <c r="X134" s="39"/>
      <c r="Y134" s="166"/>
      <c r="Z134" s="46"/>
      <c r="AA134" s="44"/>
      <c r="AB134" s="44"/>
      <c r="AC134" s="44"/>
      <c r="AD134" s="44"/>
      <c r="AE134" s="44"/>
      <c r="AF134" s="44"/>
      <c r="AG134" s="44"/>
      <c r="AH134" s="44"/>
      <c r="AI134" s="44"/>
    </row>
    <row r="135" spans="1:35" s="26" customFormat="1" ht="13.5">
      <c r="A135" s="107"/>
      <c r="B135" s="242" t="s">
        <v>204</v>
      </c>
      <c r="C135" s="108" t="s">
        <v>122</v>
      </c>
      <c r="D135" s="107" t="s">
        <v>76</v>
      </c>
      <c r="E135" s="107" t="s">
        <v>140</v>
      </c>
      <c r="F135" s="107" t="s">
        <v>75</v>
      </c>
      <c r="G135" s="10" t="s">
        <v>28</v>
      </c>
      <c r="H135" s="102" t="s">
        <v>5</v>
      </c>
      <c r="I135" s="107"/>
      <c r="J135" s="85">
        <f>J136</f>
        <v>108000000</v>
      </c>
      <c r="K135" s="85"/>
      <c r="L135" s="85"/>
      <c r="M135" s="85"/>
      <c r="N135" s="85">
        <f aca="true" t="shared" si="36" ref="N135:V135">N136</f>
        <v>45000000</v>
      </c>
      <c r="O135" s="85">
        <f t="shared" si="32"/>
        <v>41.66666666666667</v>
      </c>
      <c r="P135" s="170" t="s">
        <v>139</v>
      </c>
      <c r="Q135" s="170" t="s">
        <v>321</v>
      </c>
      <c r="R135" s="89">
        <f t="shared" si="36"/>
        <v>9000000</v>
      </c>
      <c r="S135" s="89">
        <f t="shared" si="36"/>
        <v>36000000</v>
      </c>
      <c r="T135" s="89">
        <f t="shared" si="36"/>
        <v>45000000</v>
      </c>
      <c r="U135" s="85">
        <f t="shared" si="29"/>
        <v>41.66666666666667</v>
      </c>
      <c r="V135" s="85">
        <f t="shared" si="36"/>
        <v>63000000</v>
      </c>
      <c r="W135" s="85">
        <f t="shared" si="30"/>
        <v>58.333333333333336</v>
      </c>
      <c r="X135" s="85"/>
      <c r="Y135" s="51"/>
      <c r="Z135" s="45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s="25" customFormat="1" ht="13.5">
      <c r="A136" s="84"/>
      <c r="B136" s="247" t="s">
        <v>205</v>
      </c>
      <c r="C136" s="87" t="s">
        <v>123</v>
      </c>
      <c r="D136" s="84" t="s">
        <v>76</v>
      </c>
      <c r="E136" s="84" t="s">
        <v>140</v>
      </c>
      <c r="F136" s="84" t="s">
        <v>75</v>
      </c>
      <c r="G136" s="9" t="s">
        <v>28</v>
      </c>
      <c r="H136" s="5" t="s">
        <v>5</v>
      </c>
      <c r="I136" s="84"/>
      <c r="J136" s="39">
        <v>108000000</v>
      </c>
      <c r="K136" s="39"/>
      <c r="L136" s="39"/>
      <c r="M136" s="7" t="s">
        <v>78</v>
      </c>
      <c r="N136" s="88">
        <f>9000000+9000000+9000000+9000000+9000000</f>
        <v>45000000</v>
      </c>
      <c r="O136" s="39">
        <f t="shared" si="32"/>
        <v>41.66666666666667</v>
      </c>
      <c r="P136" s="91" t="s">
        <v>139</v>
      </c>
      <c r="Q136" s="91" t="s">
        <v>321</v>
      </c>
      <c r="R136" s="88">
        <v>9000000</v>
      </c>
      <c r="S136" s="88">
        <v>36000000</v>
      </c>
      <c r="T136" s="88">
        <f>R136+S136</f>
        <v>45000000</v>
      </c>
      <c r="U136" s="39">
        <f t="shared" si="29"/>
        <v>41.66666666666667</v>
      </c>
      <c r="V136" s="8">
        <f>J136-T136</f>
        <v>63000000</v>
      </c>
      <c r="W136" s="39">
        <f t="shared" si="30"/>
        <v>58.333333333333336</v>
      </c>
      <c r="X136" s="39"/>
      <c r="Y136" s="166"/>
      <c r="Z136" s="46"/>
      <c r="AA136" s="44"/>
      <c r="AB136" s="44"/>
      <c r="AC136" s="44"/>
      <c r="AD136" s="44"/>
      <c r="AE136" s="44"/>
      <c r="AF136" s="44"/>
      <c r="AG136" s="44"/>
      <c r="AH136" s="44"/>
      <c r="AI136" s="44"/>
    </row>
    <row r="137" spans="1:35" s="26" customFormat="1" ht="13.5">
      <c r="A137" s="107"/>
      <c r="B137" s="242" t="s">
        <v>261</v>
      </c>
      <c r="C137" s="108" t="s">
        <v>272</v>
      </c>
      <c r="D137" s="107" t="s">
        <v>76</v>
      </c>
      <c r="E137" s="107" t="s">
        <v>306</v>
      </c>
      <c r="F137" s="107" t="s">
        <v>75</v>
      </c>
      <c r="G137" s="10" t="s">
        <v>28</v>
      </c>
      <c r="H137" s="102" t="s">
        <v>5</v>
      </c>
      <c r="I137" s="107"/>
      <c r="J137" s="85">
        <f>SUM(J138:J139)</f>
        <v>47103400</v>
      </c>
      <c r="K137" s="85"/>
      <c r="L137" s="85"/>
      <c r="M137" s="85"/>
      <c r="N137" s="85">
        <f>SUM(N138:N139)</f>
        <v>47103400</v>
      </c>
      <c r="O137" s="85">
        <f t="shared" si="32"/>
        <v>100</v>
      </c>
      <c r="P137" s="170" t="s">
        <v>139</v>
      </c>
      <c r="Q137" s="170" t="s">
        <v>314</v>
      </c>
      <c r="R137" s="89">
        <f>SUM(R138+R139)</f>
        <v>0</v>
      </c>
      <c r="S137" s="89">
        <f>SUM(S138:S139)</f>
        <v>47053400</v>
      </c>
      <c r="T137" s="89">
        <f>SUM(T138:T139)</f>
        <v>47053400</v>
      </c>
      <c r="U137" s="85">
        <f t="shared" si="29"/>
        <v>99.89385055006646</v>
      </c>
      <c r="V137" s="85">
        <f>SUM(V138:V139)</f>
        <v>50000</v>
      </c>
      <c r="W137" s="85">
        <f t="shared" si="30"/>
        <v>0.10614944993355044</v>
      </c>
      <c r="X137" s="85"/>
      <c r="Y137" s="51"/>
      <c r="Z137" s="45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s="25" customFormat="1" ht="13.5">
      <c r="A138" s="84"/>
      <c r="B138" s="247" t="s">
        <v>262</v>
      </c>
      <c r="C138" s="87" t="s">
        <v>273</v>
      </c>
      <c r="D138" s="84" t="s">
        <v>76</v>
      </c>
      <c r="E138" s="84" t="s">
        <v>306</v>
      </c>
      <c r="F138" s="84" t="s">
        <v>75</v>
      </c>
      <c r="G138" s="9" t="s">
        <v>28</v>
      </c>
      <c r="H138" s="5" t="s">
        <v>5</v>
      </c>
      <c r="I138" s="84"/>
      <c r="J138" s="39">
        <v>10200000</v>
      </c>
      <c r="K138" s="39"/>
      <c r="L138" s="39"/>
      <c r="M138" s="7" t="s">
        <v>221</v>
      </c>
      <c r="N138" s="88">
        <v>10200000</v>
      </c>
      <c r="O138" s="39">
        <f t="shared" si="32"/>
        <v>100</v>
      </c>
      <c r="P138" s="91" t="s">
        <v>139</v>
      </c>
      <c r="Q138" s="91" t="s">
        <v>314</v>
      </c>
      <c r="R138" s="88"/>
      <c r="S138" s="88">
        <v>10150000</v>
      </c>
      <c r="T138" s="88">
        <f>R138+S138</f>
        <v>10150000</v>
      </c>
      <c r="U138" s="39">
        <f>T138/J138*100</f>
        <v>99.50980392156863</v>
      </c>
      <c r="V138" s="8">
        <f>J138-T138</f>
        <v>50000</v>
      </c>
      <c r="W138" s="39">
        <f t="shared" si="30"/>
        <v>0.49019607843137253</v>
      </c>
      <c r="X138" s="39"/>
      <c r="Y138" s="166"/>
      <c r="Z138" s="46"/>
      <c r="AA138" s="44"/>
      <c r="AB138" s="44"/>
      <c r="AC138" s="44"/>
      <c r="AD138" s="44"/>
      <c r="AE138" s="44"/>
      <c r="AF138" s="44"/>
      <c r="AG138" s="44"/>
      <c r="AH138" s="44"/>
      <c r="AI138" s="44"/>
    </row>
    <row r="139" spans="1:35" s="25" customFormat="1" ht="13.5">
      <c r="A139" s="84"/>
      <c r="B139" s="247" t="s">
        <v>263</v>
      </c>
      <c r="C139" s="87" t="s">
        <v>274</v>
      </c>
      <c r="D139" s="84" t="s">
        <v>76</v>
      </c>
      <c r="E139" s="84" t="s">
        <v>306</v>
      </c>
      <c r="F139" s="84" t="s">
        <v>75</v>
      </c>
      <c r="G139" s="9" t="s">
        <v>28</v>
      </c>
      <c r="H139" s="5" t="s">
        <v>5</v>
      </c>
      <c r="I139" s="84"/>
      <c r="J139" s="39">
        <v>36903400</v>
      </c>
      <c r="K139" s="39"/>
      <c r="L139" s="39"/>
      <c r="M139" s="7" t="s">
        <v>221</v>
      </c>
      <c r="N139" s="88">
        <v>36903400</v>
      </c>
      <c r="O139" s="39">
        <f t="shared" si="32"/>
        <v>100</v>
      </c>
      <c r="P139" s="91" t="s">
        <v>139</v>
      </c>
      <c r="Q139" s="91" t="s">
        <v>314</v>
      </c>
      <c r="R139" s="88"/>
      <c r="S139" s="88">
        <v>36903400</v>
      </c>
      <c r="T139" s="88">
        <f>R139+S139</f>
        <v>36903400</v>
      </c>
      <c r="U139" s="85">
        <f t="shared" si="29"/>
        <v>100</v>
      </c>
      <c r="V139" s="8">
        <f>J139-T139</f>
        <v>0</v>
      </c>
      <c r="W139" s="39">
        <f t="shared" si="30"/>
        <v>0</v>
      </c>
      <c r="X139" s="39"/>
      <c r="Y139" s="166"/>
      <c r="Z139" s="46"/>
      <c r="AA139" s="44"/>
      <c r="AB139" s="44"/>
      <c r="AC139" s="44"/>
      <c r="AD139" s="44"/>
      <c r="AE139" s="44"/>
      <c r="AF139" s="44"/>
      <c r="AG139" s="44"/>
      <c r="AH139" s="44"/>
      <c r="AI139" s="44"/>
    </row>
    <row r="140" spans="1:35" s="26" customFormat="1" ht="13.5">
      <c r="A140" s="120"/>
      <c r="B140" s="271" t="s">
        <v>264</v>
      </c>
      <c r="C140" s="118"/>
      <c r="D140" s="120"/>
      <c r="E140" s="120"/>
      <c r="F140" s="120"/>
      <c r="G140" s="118"/>
      <c r="H140" s="120"/>
      <c r="I140" s="120"/>
      <c r="J140" s="122">
        <f>J141</f>
        <v>29100000</v>
      </c>
      <c r="K140" s="122"/>
      <c r="L140" s="122"/>
      <c r="M140" s="125"/>
      <c r="N140" s="124">
        <f>N141</f>
        <v>29100000</v>
      </c>
      <c r="O140" s="128"/>
      <c r="P140" s="169"/>
      <c r="Q140" s="169"/>
      <c r="R140" s="124">
        <f aca="true" t="shared" si="37" ref="R140:T141">R141</f>
        <v>0</v>
      </c>
      <c r="S140" s="124">
        <f t="shared" si="37"/>
        <v>29100000</v>
      </c>
      <c r="T140" s="124">
        <f t="shared" si="37"/>
        <v>29100000</v>
      </c>
      <c r="U140" s="150"/>
      <c r="V140" s="125">
        <f>V141</f>
        <v>0</v>
      </c>
      <c r="W140" s="150"/>
      <c r="X140" s="122"/>
      <c r="Y140" s="51"/>
      <c r="Z140" s="45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s="26" customFormat="1" ht="13.5">
      <c r="A141" s="107"/>
      <c r="B141" s="242" t="s">
        <v>265</v>
      </c>
      <c r="C141" s="108" t="s">
        <v>275</v>
      </c>
      <c r="D141" s="107" t="s">
        <v>76</v>
      </c>
      <c r="E141" s="107" t="s">
        <v>306</v>
      </c>
      <c r="F141" s="107" t="s">
        <v>75</v>
      </c>
      <c r="G141" s="10" t="s">
        <v>28</v>
      </c>
      <c r="H141" s="102" t="s">
        <v>5</v>
      </c>
      <c r="I141" s="107"/>
      <c r="J141" s="85">
        <f>J142</f>
        <v>29100000</v>
      </c>
      <c r="K141" s="85"/>
      <c r="L141" s="85"/>
      <c r="M141" s="105"/>
      <c r="N141" s="89">
        <f>N142</f>
        <v>29100000</v>
      </c>
      <c r="O141" s="85">
        <f t="shared" si="32"/>
        <v>100</v>
      </c>
      <c r="P141" s="170" t="s">
        <v>139</v>
      </c>
      <c r="Q141" s="170" t="s">
        <v>314</v>
      </c>
      <c r="R141" s="89">
        <f t="shared" si="37"/>
        <v>0</v>
      </c>
      <c r="S141" s="89">
        <f t="shared" si="37"/>
        <v>29100000</v>
      </c>
      <c r="T141" s="89">
        <f t="shared" si="37"/>
        <v>29100000</v>
      </c>
      <c r="U141" s="85">
        <f>T141/N141*100</f>
        <v>100</v>
      </c>
      <c r="V141" s="86">
        <f>V142</f>
        <v>0</v>
      </c>
      <c r="W141" s="85">
        <f t="shared" si="30"/>
        <v>0</v>
      </c>
      <c r="X141" s="85"/>
      <c r="Y141" s="51"/>
      <c r="Z141" s="45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s="25" customFormat="1" ht="13.5">
      <c r="A142" s="84"/>
      <c r="B142" s="247" t="s">
        <v>266</v>
      </c>
      <c r="C142" s="87" t="s">
        <v>120</v>
      </c>
      <c r="D142" s="84" t="s">
        <v>76</v>
      </c>
      <c r="E142" s="84" t="s">
        <v>306</v>
      </c>
      <c r="F142" s="84" t="s">
        <v>75</v>
      </c>
      <c r="G142" s="9" t="s">
        <v>28</v>
      </c>
      <c r="H142" s="5" t="s">
        <v>5</v>
      </c>
      <c r="I142" s="84"/>
      <c r="J142" s="39">
        <v>29100000</v>
      </c>
      <c r="K142" s="39"/>
      <c r="L142" s="39"/>
      <c r="M142" s="7" t="s">
        <v>221</v>
      </c>
      <c r="N142" s="88">
        <v>29100000</v>
      </c>
      <c r="O142" s="39">
        <f t="shared" si="32"/>
        <v>100</v>
      </c>
      <c r="P142" s="91" t="s">
        <v>139</v>
      </c>
      <c r="Q142" s="91" t="s">
        <v>314</v>
      </c>
      <c r="R142" s="88"/>
      <c r="S142" s="88">
        <v>29100000</v>
      </c>
      <c r="T142" s="88">
        <f>R142+S142</f>
        <v>29100000</v>
      </c>
      <c r="U142" s="39">
        <f>T142/N142*100</f>
        <v>100</v>
      </c>
      <c r="V142" s="8">
        <f>J142-T142</f>
        <v>0</v>
      </c>
      <c r="W142" s="39">
        <f t="shared" si="30"/>
        <v>0</v>
      </c>
      <c r="X142" s="39"/>
      <c r="Y142" s="166"/>
      <c r="Z142" s="46"/>
      <c r="AA142" s="44"/>
      <c r="AB142" s="44"/>
      <c r="AC142" s="44"/>
      <c r="AD142" s="44"/>
      <c r="AE142" s="44"/>
      <c r="AF142" s="44"/>
      <c r="AG142" s="44"/>
      <c r="AH142" s="44"/>
      <c r="AI142" s="44"/>
    </row>
    <row r="143" spans="1:35" s="26" customFormat="1" ht="27">
      <c r="A143" s="220">
        <v>5</v>
      </c>
      <c r="B143" s="272" t="s">
        <v>276</v>
      </c>
      <c r="C143" s="221"/>
      <c r="D143" s="220"/>
      <c r="E143" s="220"/>
      <c r="F143" s="220"/>
      <c r="G143" s="221"/>
      <c r="H143" s="220"/>
      <c r="I143" s="220"/>
      <c r="J143" s="222">
        <f>J144+J161</f>
        <v>138531800</v>
      </c>
      <c r="K143" s="222"/>
      <c r="L143" s="222"/>
      <c r="M143" s="222"/>
      <c r="N143" s="222">
        <f aca="true" t="shared" si="38" ref="N143:V143">N144+N161</f>
        <v>138531800</v>
      </c>
      <c r="O143" s="222">
        <f>N143/J143*100</f>
        <v>100</v>
      </c>
      <c r="P143" s="222"/>
      <c r="Q143" s="222"/>
      <c r="R143" s="279">
        <f t="shared" si="38"/>
        <v>0</v>
      </c>
      <c r="S143" s="279">
        <f t="shared" si="38"/>
        <v>136630500</v>
      </c>
      <c r="T143" s="279">
        <f t="shared" si="38"/>
        <v>136630500</v>
      </c>
      <c r="U143" s="222">
        <f>T143/J143*100</f>
        <v>98.62753533845658</v>
      </c>
      <c r="V143" s="222">
        <f t="shared" si="38"/>
        <v>1901300</v>
      </c>
      <c r="W143" s="222">
        <f>V143/J143*100</f>
        <v>1.3724646615434146</v>
      </c>
      <c r="X143" s="222"/>
      <c r="Y143" s="51"/>
      <c r="Z143" s="45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s="26" customFormat="1" ht="13.5">
      <c r="A144" s="120"/>
      <c r="B144" s="271" t="s">
        <v>79</v>
      </c>
      <c r="C144" s="118"/>
      <c r="D144" s="120"/>
      <c r="E144" s="120"/>
      <c r="F144" s="120"/>
      <c r="G144" s="118"/>
      <c r="H144" s="120"/>
      <c r="I144" s="120"/>
      <c r="J144" s="122">
        <f>J145+J147+J153+J155+J157+J159</f>
        <v>67281800</v>
      </c>
      <c r="K144" s="122"/>
      <c r="L144" s="122"/>
      <c r="M144" s="122"/>
      <c r="N144" s="122">
        <f aca="true" t="shared" si="39" ref="N144:V144">N145+N147+N153+N155+N157+N159</f>
        <v>67281800</v>
      </c>
      <c r="O144" s="122">
        <f>N144/J144*100</f>
        <v>100</v>
      </c>
      <c r="P144" s="122"/>
      <c r="Q144" s="122"/>
      <c r="R144" s="124">
        <f t="shared" si="39"/>
        <v>0</v>
      </c>
      <c r="S144" s="124">
        <f t="shared" si="39"/>
        <v>65530500</v>
      </c>
      <c r="T144" s="124">
        <f t="shared" si="39"/>
        <v>65530500</v>
      </c>
      <c r="U144" s="122">
        <f>T144/J144*100</f>
        <v>97.3970672603884</v>
      </c>
      <c r="V144" s="122">
        <f t="shared" si="39"/>
        <v>1751300</v>
      </c>
      <c r="W144" s="122">
        <f>V144/J144*100</f>
        <v>2.6029327396116035</v>
      </c>
      <c r="X144" s="122"/>
      <c r="Y144" s="51"/>
      <c r="Z144" s="45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s="26" customFormat="1" ht="13.5">
      <c r="A145" s="107"/>
      <c r="B145" s="242" t="s">
        <v>256</v>
      </c>
      <c r="C145" s="108" t="s">
        <v>269</v>
      </c>
      <c r="D145" s="107" t="s">
        <v>76</v>
      </c>
      <c r="E145" s="107" t="s">
        <v>306</v>
      </c>
      <c r="F145" s="107" t="s">
        <v>75</v>
      </c>
      <c r="G145" s="10" t="s">
        <v>28</v>
      </c>
      <c r="H145" s="102" t="s">
        <v>5</v>
      </c>
      <c r="I145" s="107"/>
      <c r="J145" s="243">
        <f aca="true" t="shared" si="40" ref="J145:X145">J146</f>
        <v>2271800</v>
      </c>
      <c r="K145" s="243">
        <f t="shared" si="40"/>
        <v>0</v>
      </c>
      <c r="L145" s="243">
        <f t="shared" si="40"/>
        <v>0</v>
      </c>
      <c r="M145" s="243"/>
      <c r="N145" s="243">
        <f t="shared" si="40"/>
        <v>2271800</v>
      </c>
      <c r="O145" s="243">
        <f>N145/J145*100</f>
        <v>100</v>
      </c>
      <c r="P145" s="243" t="str">
        <f t="shared" si="40"/>
        <v>feb</v>
      </c>
      <c r="Q145" s="243" t="s">
        <v>141</v>
      </c>
      <c r="R145" s="243">
        <f t="shared" si="40"/>
        <v>0</v>
      </c>
      <c r="S145" s="243">
        <f t="shared" si="40"/>
        <v>2257500</v>
      </c>
      <c r="T145" s="243">
        <f t="shared" si="40"/>
        <v>2257500</v>
      </c>
      <c r="U145" s="243">
        <f>T145/J145*100</f>
        <v>99.3705431816181</v>
      </c>
      <c r="V145" s="243">
        <f t="shared" si="40"/>
        <v>14300</v>
      </c>
      <c r="W145" s="243">
        <f t="shared" si="40"/>
        <v>0.6294568183818998</v>
      </c>
      <c r="X145" s="243">
        <f t="shared" si="40"/>
        <v>0</v>
      </c>
      <c r="Y145" s="51"/>
      <c r="Z145" s="45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s="25" customFormat="1" ht="27">
      <c r="A146" s="84"/>
      <c r="B146" s="247" t="s">
        <v>277</v>
      </c>
      <c r="C146" s="87" t="s">
        <v>289</v>
      </c>
      <c r="D146" s="84" t="s">
        <v>76</v>
      </c>
      <c r="E146" s="84" t="s">
        <v>306</v>
      </c>
      <c r="F146" s="84" t="s">
        <v>75</v>
      </c>
      <c r="G146" s="9" t="s">
        <v>28</v>
      </c>
      <c r="H146" s="5" t="s">
        <v>5</v>
      </c>
      <c r="I146" s="84"/>
      <c r="J146" s="248">
        <v>2271800</v>
      </c>
      <c r="K146" s="39"/>
      <c r="L146" s="39"/>
      <c r="M146" s="7" t="s">
        <v>221</v>
      </c>
      <c r="N146" s="88">
        <v>2271800</v>
      </c>
      <c r="O146" s="248">
        <f aca="true" t="shared" si="41" ref="O146:O163">N146/J146*100</f>
        <v>100</v>
      </c>
      <c r="P146" s="91" t="s">
        <v>141</v>
      </c>
      <c r="Q146" s="91" t="s">
        <v>141</v>
      </c>
      <c r="R146" s="88"/>
      <c r="S146" s="88">
        <v>2257500</v>
      </c>
      <c r="T146" s="88">
        <f aca="true" t="shared" si="42" ref="T146:T163">R146+S146</f>
        <v>2257500</v>
      </c>
      <c r="U146" s="248">
        <f aca="true" t="shared" si="43" ref="U146:U160">T146/J146*100</f>
        <v>99.3705431816181</v>
      </c>
      <c r="V146" s="8">
        <f aca="true" t="shared" si="44" ref="V146:V163">J146-T146</f>
        <v>14300</v>
      </c>
      <c r="W146" s="39">
        <f aca="true" t="shared" si="45" ref="W146:W163">V146/J146*100</f>
        <v>0.6294568183818998</v>
      </c>
      <c r="X146" s="39"/>
      <c r="Y146" s="166"/>
      <c r="Z146" s="46"/>
      <c r="AA146" s="44"/>
      <c r="AB146" s="44"/>
      <c r="AC146" s="44"/>
      <c r="AD146" s="44"/>
      <c r="AE146" s="44"/>
      <c r="AF146" s="44"/>
      <c r="AG146" s="44"/>
      <c r="AH146" s="44"/>
      <c r="AI146" s="44"/>
    </row>
    <row r="147" spans="1:35" s="26" customFormat="1" ht="13.5">
      <c r="A147" s="107"/>
      <c r="B147" s="242" t="s">
        <v>106</v>
      </c>
      <c r="C147" s="108" t="s">
        <v>114</v>
      </c>
      <c r="D147" s="107" t="s">
        <v>76</v>
      </c>
      <c r="E147" s="107" t="s">
        <v>306</v>
      </c>
      <c r="F147" s="107" t="s">
        <v>75</v>
      </c>
      <c r="G147" s="10" t="s">
        <v>28</v>
      </c>
      <c r="H147" s="102" t="s">
        <v>5</v>
      </c>
      <c r="I147" s="107"/>
      <c r="J147" s="243">
        <f>SUM(J148:J152)</f>
        <v>17550000</v>
      </c>
      <c r="K147" s="243">
        <f aca="true" t="shared" si="46" ref="K147:X147">SUM(K148:K152)</f>
        <v>0</v>
      </c>
      <c r="L147" s="243">
        <f t="shared" si="46"/>
        <v>0</v>
      </c>
      <c r="M147" s="243">
        <f t="shared" si="46"/>
        <v>0</v>
      </c>
      <c r="N147" s="243">
        <f t="shared" si="46"/>
        <v>17550000</v>
      </c>
      <c r="O147" s="243">
        <f t="shared" si="41"/>
        <v>100</v>
      </c>
      <c r="P147" s="243">
        <f t="shared" si="46"/>
        <v>0</v>
      </c>
      <c r="Q147" s="243"/>
      <c r="R147" s="243">
        <f t="shared" si="46"/>
        <v>0</v>
      </c>
      <c r="S147" s="243">
        <f t="shared" si="46"/>
        <v>17325000</v>
      </c>
      <c r="T147" s="243">
        <f t="shared" si="46"/>
        <v>17325000</v>
      </c>
      <c r="U147" s="243">
        <f t="shared" si="43"/>
        <v>98.71794871794873</v>
      </c>
      <c r="V147" s="243">
        <f t="shared" si="46"/>
        <v>225000</v>
      </c>
      <c r="W147" s="243">
        <f>V147/J147*100</f>
        <v>1.282051282051282</v>
      </c>
      <c r="X147" s="243">
        <f t="shared" si="46"/>
        <v>0</v>
      </c>
      <c r="Y147" s="51"/>
      <c r="Z147" s="45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s="25" customFormat="1" ht="13.5">
      <c r="A148" s="84"/>
      <c r="B148" s="247" t="s">
        <v>278</v>
      </c>
      <c r="C148" s="87" t="s">
        <v>135</v>
      </c>
      <c r="D148" s="84" t="s">
        <v>76</v>
      </c>
      <c r="E148" s="84" t="s">
        <v>306</v>
      </c>
      <c r="F148" s="84" t="s">
        <v>75</v>
      </c>
      <c r="G148" s="9" t="s">
        <v>28</v>
      </c>
      <c r="H148" s="5" t="s">
        <v>5</v>
      </c>
      <c r="I148" s="84"/>
      <c r="J148" s="248">
        <v>1400000</v>
      </c>
      <c r="K148" s="39"/>
      <c r="L148" s="39"/>
      <c r="M148" s="7" t="s">
        <v>221</v>
      </c>
      <c r="N148" s="88">
        <v>1400000</v>
      </c>
      <c r="O148" s="248">
        <f t="shared" si="41"/>
        <v>100</v>
      </c>
      <c r="P148" s="91" t="s">
        <v>141</v>
      </c>
      <c r="Q148" s="91" t="s">
        <v>141</v>
      </c>
      <c r="R148" s="88"/>
      <c r="S148" s="88">
        <v>1400000</v>
      </c>
      <c r="T148" s="88">
        <f t="shared" si="42"/>
        <v>1400000</v>
      </c>
      <c r="U148" s="248">
        <f t="shared" si="43"/>
        <v>100</v>
      </c>
      <c r="V148" s="8">
        <f t="shared" si="44"/>
        <v>0</v>
      </c>
      <c r="W148" s="39">
        <f t="shared" si="45"/>
        <v>0</v>
      </c>
      <c r="X148" s="39"/>
      <c r="Y148" s="166"/>
      <c r="Z148" s="46"/>
      <c r="AA148" s="44"/>
      <c r="AB148" s="44"/>
      <c r="AC148" s="44"/>
      <c r="AD148" s="44"/>
      <c r="AE148" s="44"/>
      <c r="AF148" s="44"/>
      <c r="AG148" s="44"/>
      <c r="AH148" s="44"/>
      <c r="AI148" s="44"/>
    </row>
    <row r="149" spans="1:35" s="25" customFormat="1" ht="13.5">
      <c r="A149" s="84"/>
      <c r="B149" s="247" t="s">
        <v>279</v>
      </c>
      <c r="C149" s="87" t="s">
        <v>290</v>
      </c>
      <c r="D149" s="84" t="s">
        <v>76</v>
      </c>
      <c r="E149" s="84" t="s">
        <v>306</v>
      </c>
      <c r="F149" s="84" t="s">
        <v>75</v>
      </c>
      <c r="G149" s="9" t="s">
        <v>28</v>
      </c>
      <c r="H149" s="5" t="s">
        <v>5</v>
      </c>
      <c r="I149" s="84"/>
      <c r="J149" s="248">
        <v>450000</v>
      </c>
      <c r="K149" s="39"/>
      <c r="L149" s="39"/>
      <c r="M149" s="7" t="s">
        <v>221</v>
      </c>
      <c r="N149" s="88">
        <v>450000</v>
      </c>
      <c r="O149" s="248">
        <f t="shared" si="41"/>
        <v>100</v>
      </c>
      <c r="P149" s="91" t="s">
        <v>141</v>
      </c>
      <c r="Q149" s="91" t="s">
        <v>141</v>
      </c>
      <c r="R149" s="88"/>
      <c r="S149" s="88">
        <v>225000</v>
      </c>
      <c r="T149" s="88">
        <f t="shared" si="42"/>
        <v>225000</v>
      </c>
      <c r="U149" s="248">
        <f t="shared" si="43"/>
        <v>50</v>
      </c>
      <c r="V149" s="8">
        <f t="shared" si="44"/>
        <v>225000</v>
      </c>
      <c r="W149" s="39">
        <f t="shared" si="45"/>
        <v>50</v>
      </c>
      <c r="X149" s="39"/>
      <c r="Y149" s="166"/>
      <c r="Z149" s="46"/>
      <c r="AA149" s="44"/>
      <c r="AB149" s="44"/>
      <c r="AC149" s="44"/>
      <c r="AD149" s="44"/>
      <c r="AE149" s="44"/>
      <c r="AF149" s="44"/>
      <c r="AG149" s="44"/>
      <c r="AH149" s="44"/>
      <c r="AI149" s="44"/>
    </row>
    <row r="150" spans="1:35" s="25" customFormat="1" ht="13.5">
      <c r="A150" s="84"/>
      <c r="B150" s="247" t="s">
        <v>81</v>
      </c>
      <c r="C150" s="87" t="s">
        <v>137</v>
      </c>
      <c r="D150" s="84" t="s">
        <v>76</v>
      </c>
      <c r="E150" s="84" t="s">
        <v>306</v>
      </c>
      <c r="F150" s="84" t="s">
        <v>75</v>
      </c>
      <c r="G150" s="9" t="s">
        <v>28</v>
      </c>
      <c r="H150" s="5" t="s">
        <v>5</v>
      </c>
      <c r="I150" s="84"/>
      <c r="J150" s="248">
        <v>3000000</v>
      </c>
      <c r="K150" s="39"/>
      <c r="L150" s="39"/>
      <c r="M150" s="7" t="s">
        <v>299</v>
      </c>
      <c r="N150" s="88">
        <v>3000000</v>
      </c>
      <c r="O150" s="248">
        <f t="shared" si="41"/>
        <v>100</v>
      </c>
      <c r="P150" s="91" t="s">
        <v>141</v>
      </c>
      <c r="Q150" s="91" t="s">
        <v>141</v>
      </c>
      <c r="R150" s="88"/>
      <c r="S150" s="88">
        <v>3000000</v>
      </c>
      <c r="T150" s="88">
        <f t="shared" si="42"/>
        <v>3000000</v>
      </c>
      <c r="U150" s="248">
        <f t="shared" si="43"/>
        <v>100</v>
      </c>
      <c r="V150" s="8">
        <f t="shared" si="44"/>
        <v>0</v>
      </c>
      <c r="W150" s="39">
        <f t="shared" si="45"/>
        <v>0</v>
      </c>
      <c r="X150" s="39"/>
      <c r="Y150" s="166"/>
      <c r="Z150" s="46"/>
      <c r="AA150" s="44"/>
      <c r="AB150" s="44"/>
      <c r="AC150" s="44"/>
      <c r="AD150" s="44"/>
      <c r="AE150" s="44"/>
      <c r="AF150" s="44"/>
      <c r="AG150" s="44"/>
      <c r="AH150" s="44"/>
      <c r="AI150" s="44"/>
    </row>
    <row r="151" spans="1:35" s="25" customFormat="1" ht="13.5">
      <c r="A151" s="84"/>
      <c r="B151" s="247" t="s">
        <v>280</v>
      </c>
      <c r="C151" s="87" t="s">
        <v>291</v>
      </c>
      <c r="D151" s="84" t="s">
        <v>76</v>
      </c>
      <c r="E151" s="84" t="s">
        <v>306</v>
      </c>
      <c r="F151" s="84" t="s">
        <v>75</v>
      </c>
      <c r="G151" s="9" t="s">
        <v>28</v>
      </c>
      <c r="H151" s="5" t="s">
        <v>5</v>
      </c>
      <c r="I151" s="84"/>
      <c r="J151" s="248">
        <v>10100000</v>
      </c>
      <c r="K151" s="39"/>
      <c r="L151" s="39"/>
      <c r="M151" s="7" t="s">
        <v>299</v>
      </c>
      <c r="N151" s="88">
        <v>10100000</v>
      </c>
      <c r="O151" s="248">
        <f t="shared" si="41"/>
        <v>100</v>
      </c>
      <c r="P151" s="91" t="s">
        <v>141</v>
      </c>
      <c r="Q151" s="91" t="s">
        <v>141</v>
      </c>
      <c r="R151" s="88"/>
      <c r="S151" s="88">
        <v>10100000</v>
      </c>
      <c r="T151" s="88">
        <f t="shared" si="42"/>
        <v>10100000</v>
      </c>
      <c r="U151" s="248">
        <f t="shared" si="43"/>
        <v>100</v>
      </c>
      <c r="V151" s="8">
        <f t="shared" si="44"/>
        <v>0</v>
      </c>
      <c r="W151" s="39">
        <f t="shared" si="45"/>
        <v>0</v>
      </c>
      <c r="X151" s="39"/>
      <c r="Y151" s="166"/>
      <c r="Z151" s="46"/>
      <c r="AA151" s="44"/>
      <c r="AB151" s="44"/>
      <c r="AC151" s="44"/>
      <c r="AD151" s="44"/>
      <c r="AE151" s="44"/>
      <c r="AF151" s="44"/>
      <c r="AG151" s="44"/>
      <c r="AH151" s="44"/>
      <c r="AI151" s="44"/>
    </row>
    <row r="152" spans="1:35" s="25" customFormat="1" ht="13.5">
      <c r="A152" s="84"/>
      <c r="B152" s="247" t="s">
        <v>281</v>
      </c>
      <c r="C152" s="87" t="s">
        <v>292</v>
      </c>
      <c r="D152" s="84" t="s">
        <v>76</v>
      </c>
      <c r="E152" s="84" t="s">
        <v>306</v>
      </c>
      <c r="F152" s="84" t="s">
        <v>75</v>
      </c>
      <c r="G152" s="9" t="s">
        <v>28</v>
      </c>
      <c r="H152" s="5" t="s">
        <v>5</v>
      </c>
      <c r="I152" s="84"/>
      <c r="J152" s="248">
        <v>2600000</v>
      </c>
      <c r="K152" s="39"/>
      <c r="L152" s="39"/>
      <c r="M152" s="7" t="s">
        <v>299</v>
      </c>
      <c r="N152" s="88">
        <v>2600000</v>
      </c>
      <c r="O152" s="248">
        <f t="shared" si="41"/>
        <v>100</v>
      </c>
      <c r="P152" s="91" t="s">
        <v>141</v>
      </c>
      <c r="Q152" s="91" t="s">
        <v>141</v>
      </c>
      <c r="R152" s="88"/>
      <c r="S152" s="88">
        <v>2600000</v>
      </c>
      <c r="T152" s="88">
        <f t="shared" si="42"/>
        <v>2600000</v>
      </c>
      <c r="U152" s="248">
        <f t="shared" si="43"/>
        <v>100</v>
      </c>
      <c r="V152" s="8">
        <f t="shared" si="44"/>
        <v>0</v>
      </c>
      <c r="W152" s="39">
        <f t="shared" si="45"/>
        <v>0</v>
      </c>
      <c r="X152" s="39"/>
      <c r="Y152" s="166"/>
      <c r="Z152" s="46"/>
      <c r="AA152" s="44"/>
      <c r="AB152" s="44"/>
      <c r="AC152" s="44"/>
      <c r="AD152" s="44"/>
      <c r="AE152" s="44"/>
      <c r="AF152" s="44"/>
      <c r="AG152" s="44"/>
      <c r="AH152" s="44"/>
      <c r="AI152" s="44"/>
    </row>
    <row r="153" spans="1:35" s="26" customFormat="1" ht="13.5">
      <c r="A153" s="107"/>
      <c r="B153" s="242" t="s">
        <v>92</v>
      </c>
      <c r="C153" s="218" t="s">
        <v>117</v>
      </c>
      <c r="D153" s="219" t="s">
        <v>76</v>
      </c>
      <c r="E153" s="219" t="s">
        <v>306</v>
      </c>
      <c r="F153" s="219" t="s">
        <v>75</v>
      </c>
      <c r="G153" s="206" t="s">
        <v>28</v>
      </c>
      <c r="H153" s="207" t="s">
        <v>5</v>
      </c>
      <c r="I153" s="219"/>
      <c r="J153" s="273">
        <f>J154</f>
        <v>1560000</v>
      </c>
      <c r="K153" s="243"/>
      <c r="L153" s="243"/>
      <c r="M153" s="274"/>
      <c r="N153" s="243">
        <f aca="true" t="shared" si="47" ref="N153:X153">N154</f>
        <v>1560000</v>
      </c>
      <c r="O153" s="243">
        <f t="shared" si="41"/>
        <v>100</v>
      </c>
      <c r="P153" s="243"/>
      <c r="Q153" s="243"/>
      <c r="R153" s="243">
        <f t="shared" si="47"/>
        <v>0</v>
      </c>
      <c r="S153" s="243">
        <f t="shared" si="47"/>
        <v>1548000</v>
      </c>
      <c r="T153" s="243">
        <f t="shared" si="47"/>
        <v>1548000</v>
      </c>
      <c r="U153" s="243">
        <f t="shared" si="43"/>
        <v>99.23076923076923</v>
      </c>
      <c r="V153" s="243">
        <f t="shared" si="47"/>
        <v>12000</v>
      </c>
      <c r="W153" s="243">
        <f t="shared" si="47"/>
        <v>0.7692307692307693</v>
      </c>
      <c r="X153" s="243">
        <f t="shared" si="47"/>
        <v>0</v>
      </c>
      <c r="Y153" s="51"/>
      <c r="Z153" s="45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s="25" customFormat="1" ht="27">
      <c r="A154" s="84"/>
      <c r="B154" s="247" t="s">
        <v>193</v>
      </c>
      <c r="C154" s="87" t="s">
        <v>118</v>
      </c>
      <c r="D154" s="84" t="s">
        <v>76</v>
      </c>
      <c r="E154" s="84" t="s">
        <v>306</v>
      </c>
      <c r="F154" s="84" t="s">
        <v>75</v>
      </c>
      <c r="G154" s="9" t="s">
        <v>28</v>
      </c>
      <c r="H154" s="5" t="s">
        <v>5</v>
      </c>
      <c r="I154" s="84"/>
      <c r="J154" s="248">
        <v>1560000</v>
      </c>
      <c r="K154" s="39"/>
      <c r="L154" s="39"/>
      <c r="M154" s="7" t="s">
        <v>221</v>
      </c>
      <c r="N154" s="88">
        <v>1560000</v>
      </c>
      <c r="O154" s="248">
        <f t="shared" si="41"/>
        <v>100</v>
      </c>
      <c r="P154" s="91" t="s">
        <v>141</v>
      </c>
      <c r="Q154" s="91" t="s">
        <v>141</v>
      </c>
      <c r="R154" s="88"/>
      <c r="S154" s="88">
        <v>1548000</v>
      </c>
      <c r="T154" s="88">
        <f t="shared" si="42"/>
        <v>1548000</v>
      </c>
      <c r="U154" s="248">
        <f t="shared" si="43"/>
        <v>99.23076923076923</v>
      </c>
      <c r="V154" s="8">
        <f t="shared" si="44"/>
        <v>12000</v>
      </c>
      <c r="W154" s="39">
        <f t="shared" si="45"/>
        <v>0.7692307692307693</v>
      </c>
      <c r="X154" s="39"/>
      <c r="Y154" s="166"/>
      <c r="Z154" s="46"/>
      <c r="AA154" s="44"/>
      <c r="AB154" s="44"/>
      <c r="AC154" s="44"/>
      <c r="AD154" s="44"/>
      <c r="AE154" s="44"/>
      <c r="AF154" s="44"/>
      <c r="AG154" s="44"/>
      <c r="AH154" s="44"/>
      <c r="AI154" s="44"/>
    </row>
    <row r="155" spans="1:35" s="26" customFormat="1" ht="27">
      <c r="A155" s="107"/>
      <c r="B155" s="242" t="s">
        <v>282</v>
      </c>
      <c r="C155" s="108" t="s">
        <v>293</v>
      </c>
      <c r="D155" s="107" t="s">
        <v>76</v>
      </c>
      <c r="E155" s="107" t="s">
        <v>306</v>
      </c>
      <c r="F155" s="107" t="s">
        <v>75</v>
      </c>
      <c r="G155" s="10" t="s">
        <v>28</v>
      </c>
      <c r="H155" s="102" t="s">
        <v>5</v>
      </c>
      <c r="I155" s="107"/>
      <c r="J155" s="243">
        <f>J156</f>
        <v>12000000</v>
      </c>
      <c r="K155" s="243">
        <f aca="true" t="shared" si="48" ref="K155:X155">K156</f>
        <v>0</v>
      </c>
      <c r="L155" s="243">
        <f t="shared" si="48"/>
        <v>0</v>
      </c>
      <c r="M155" s="243"/>
      <c r="N155" s="243">
        <f t="shared" si="48"/>
        <v>12000000</v>
      </c>
      <c r="O155" s="243">
        <f t="shared" si="41"/>
        <v>100</v>
      </c>
      <c r="P155" s="243"/>
      <c r="Q155" s="243"/>
      <c r="R155" s="243">
        <f t="shared" si="48"/>
        <v>0</v>
      </c>
      <c r="S155" s="243">
        <f t="shared" si="48"/>
        <v>12000000</v>
      </c>
      <c r="T155" s="243">
        <f t="shared" si="48"/>
        <v>12000000</v>
      </c>
      <c r="U155" s="243">
        <f t="shared" si="43"/>
        <v>100</v>
      </c>
      <c r="V155" s="243">
        <f t="shared" si="48"/>
        <v>0</v>
      </c>
      <c r="W155" s="243">
        <f t="shared" si="48"/>
        <v>0</v>
      </c>
      <c r="X155" s="243">
        <f t="shared" si="48"/>
        <v>0</v>
      </c>
      <c r="Y155" s="51"/>
      <c r="Z155" s="45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s="25" customFormat="1" ht="13.5">
      <c r="A156" s="84"/>
      <c r="B156" s="247" t="s">
        <v>283</v>
      </c>
      <c r="C156" s="87" t="s">
        <v>294</v>
      </c>
      <c r="D156" s="84" t="s">
        <v>76</v>
      </c>
      <c r="E156" s="84" t="s">
        <v>306</v>
      </c>
      <c r="F156" s="84" t="s">
        <v>75</v>
      </c>
      <c r="G156" s="9" t="s">
        <v>28</v>
      </c>
      <c r="H156" s="5" t="s">
        <v>5</v>
      </c>
      <c r="I156" s="84"/>
      <c r="J156" s="248">
        <v>12000000</v>
      </c>
      <c r="K156" s="39"/>
      <c r="L156" s="39"/>
      <c r="M156" s="7" t="s">
        <v>221</v>
      </c>
      <c r="N156" s="88">
        <v>12000000</v>
      </c>
      <c r="O156" s="248">
        <f t="shared" si="41"/>
        <v>100</v>
      </c>
      <c r="P156" s="91" t="s">
        <v>141</v>
      </c>
      <c r="Q156" s="91" t="s">
        <v>141</v>
      </c>
      <c r="R156" s="88"/>
      <c r="S156" s="88">
        <v>12000000</v>
      </c>
      <c r="T156" s="88">
        <f t="shared" si="42"/>
        <v>12000000</v>
      </c>
      <c r="U156" s="248">
        <f t="shared" si="43"/>
        <v>100</v>
      </c>
      <c r="V156" s="8">
        <f>J156-T156</f>
        <v>0</v>
      </c>
      <c r="W156" s="39">
        <f t="shared" si="45"/>
        <v>0</v>
      </c>
      <c r="X156" s="39"/>
      <c r="Y156" s="166"/>
      <c r="Z156" s="46"/>
      <c r="AA156" s="44"/>
      <c r="AB156" s="44"/>
      <c r="AC156" s="44"/>
      <c r="AD156" s="44"/>
      <c r="AE156" s="44"/>
      <c r="AF156" s="44"/>
      <c r="AG156" s="44"/>
      <c r="AH156" s="44"/>
      <c r="AI156" s="44"/>
    </row>
    <row r="157" spans="1:35" s="26" customFormat="1" ht="13.5">
      <c r="A157" s="107"/>
      <c r="B157" s="242" t="s">
        <v>259</v>
      </c>
      <c r="C157" s="108" t="s">
        <v>132</v>
      </c>
      <c r="D157" s="107" t="s">
        <v>76</v>
      </c>
      <c r="E157" s="107" t="s">
        <v>306</v>
      </c>
      <c r="F157" s="107" t="s">
        <v>75</v>
      </c>
      <c r="G157" s="10" t="s">
        <v>28</v>
      </c>
      <c r="H157" s="102" t="s">
        <v>5</v>
      </c>
      <c r="I157" s="107"/>
      <c r="J157" s="243">
        <f>J158</f>
        <v>32400000</v>
      </c>
      <c r="K157" s="243">
        <f aca="true" t="shared" si="49" ref="K157:X157">K158</f>
        <v>0</v>
      </c>
      <c r="L157" s="243">
        <f t="shared" si="49"/>
        <v>0</v>
      </c>
      <c r="M157" s="243"/>
      <c r="N157" s="243">
        <f t="shared" si="49"/>
        <v>32400000</v>
      </c>
      <c r="O157" s="243">
        <f t="shared" si="41"/>
        <v>100</v>
      </c>
      <c r="P157" s="243"/>
      <c r="Q157" s="243"/>
      <c r="R157" s="243">
        <f t="shared" si="49"/>
        <v>0</v>
      </c>
      <c r="S157" s="243">
        <f t="shared" si="49"/>
        <v>32400000</v>
      </c>
      <c r="T157" s="243">
        <f t="shared" si="49"/>
        <v>32400000</v>
      </c>
      <c r="U157" s="243">
        <f t="shared" si="43"/>
        <v>100</v>
      </c>
      <c r="V157" s="243">
        <f t="shared" si="49"/>
        <v>0</v>
      </c>
      <c r="W157" s="243">
        <f t="shared" si="49"/>
        <v>0</v>
      </c>
      <c r="X157" s="243">
        <f t="shared" si="49"/>
        <v>0</v>
      </c>
      <c r="Y157" s="51"/>
      <c r="Z157" s="45"/>
      <c r="AA157" s="43"/>
      <c r="AB157" s="43"/>
      <c r="AC157" s="43"/>
      <c r="AD157" s="43"/>
      <c r="AE157" s="43"/>
      <c r="AF157" s="43"/>
      <c r="AG157" s="43"/>
      <c r="AH157" s="43"/>
      <c r="AI157" s="43"/>
    </row>
    <row r="158" spans="1:35" s="25" customFormat="1" ht="13.5">
      <c r="A158" s="84"/>
      <c r="B158" s="247" t="s">
        <v>284</v>
      </c>
      <c r="C158" s="87" t="s">
        <v>138</v>
      </c>
      <c r="D158" s="84" t="s">
        <v>76</v>
      </c>
      <c r="E158" s="84" t="s">
        <v>306</v>
      </c>
      <c r="F158" s="84" t="s">
        <v>75</v>
      </c>
      <c r="G158" s="9" t="s">
        <v>28</v>
      </c>
      <c r="H158" s="5" t="s">
        <v>5</v>
      </c>
      <c r="I158" s="84"/>
      <c r="J158" s="248">
        <v>32400000</v>
      </c>
      <c r="K158" s="39"/>
      <c r="L158" s="39"/>
      <c r="M158" s="7" t="s">
        <v>299</v>
      </c>
      <c r="N158" s="88">
        <v>32400000</v>
      </c>
      <c r="O158" s="248">
        <f t="shared" si="41"/>
        <v>100</v>
      </c>
      <c r="P158" s="91" t="s">
        <v>141</v>
      </c>
      <c r="Q158" s="91" t="s">
        <v>141</v>
      </c>
      <c r="R158" s="88"/>
      <c r="S158" s="88">
        <v>32400000</v>
      </c>
      <c r="T158" s="88">
        <f t="shared" si="42"/>
        <v>32400000</v>
      </c>
      <c r="U158" s="248">
        <f t="shared" si="43"/>
        <v>100</v>
      </c>
      <c r="V158" s="8">
        <f t="shared" si="44"/>
        <v>0</v>
      </c>
      <c r="W158" s="39">
        <f t="shared" si="45"/>
        <v>0</v>
      </c>
      <c r="X158" s="39"/>
      <c r="Y158" s="166"/>
      <c r="Z158" s="46"/>
      <c r="AA158" s="44"/>
      <c r="AB158" s="44"/>
      <c r="AC158" s="44"/>
      <c r="AD158" s="44"/>
      <c r="AE158" s="44"/>
      <c r="AF158" s="44"/>
      <c r="AG158" s="44"/>
      <c r="AH158" s="44"/>
      <c r="AI158" s="44"/>
    </row>
    <row r="159" spans="1:35" s="26" customFormat="1" ht="13.5">
      <c r="A159" s="107"/>
      <c r="B159" s="242" t="s">
        <v>285</v>
      </c>
      <c r="C159" s="108" t="s">
        <v>295</v>
      </c>
      <c r="D159" s="107" t="s">
        <v>76</v>
      </c>
      <c r="E159" s="107" t="s">
        <v>306</v>
      </c>
      <c r="F159" s="107" t="s">
        <v>75</v>
      </c>
      <c r="G159" s="10" t="s">
        <v>28</v>
      </c>
      <c r="H159" s="102" t="s">
        <v>5</v>
      </c>
      <c r="I159" s="107"/>
      <c r="J159" s="243">
        <f>J160</f>
        <v>1500000</v>
      </c>
      <c r="K159" s="243">
        <f aca="true" t="shared" si="50" ref="K159:X159">K160</f>
        <v>0</v>
      </c>
      <c r="L159" s="243">
        <f t="shared" si="50"/>
        <v>0</v>
      </c>
      <c r="M159" s="243"/>
      <c r="N159" s="243">
        <f t="shared" si="50"/>
        <v>1500000</v>
      </c>
      <c r="O159" s="243">
        <f t="shared" si="41"/>
        <v>100</v>
      </c>
      <c r="P159" s="243"/>
      <c r="Q159" s="243"/>
      <c r="R159" s="243">
        <f t="shared" si="50"/>
        <v>0</v>
      </c>
      <c r="S159" s="243">
        <f t="shared" si="50"/>
        <v>0</v>
      </c>
      <c r="T159" s="243">
        <f t="shared" si="50"/>
        <v>0</v>
      </c>
      <c r="U159" s="248">
        <f t="shared" si="43"/>
        <v>0</v>
      </c>
      <c r="V159" s="243">
        <f t="shared" si="50"/>
        <v>1500000</v>
      </c>
      <c r="W159" s="243">
        <f t="shared" si="50"/>
        <v>100</v>
      </c>
      <c r="X159" s="243">
        <f t="shared" si="50"/>
        <v>0</v>
      </c>
      <c r="Y159" s="51"/>
      <c r="Z159" s="45"/>
      <c r="AA159" s="43"/>
      <c r="AB159" s="43"/>
      <c r="AC159" s="43"/>
      <c r="AD159" s="43"/>
      <c r="AE159" s="43"/>
      <c r="AF159" s="43"/>
      <c r="AG159" s="43"/>
      <c r="AH159" s="43"/>
      <c r="AI159" s="43"/>
    </row>
    <row r="160" spans="1:35" s="25" customFormat="1" ht="13.5">
      <c r="A160" s="84"/>
      <c r="B160" s="247" t="s">
        <v>286</v>
      </c>
      <c r="C160" s="87" t="s">
        <v>296</v>
      </c>
      <c r="D160" s="84" t="s">
        <v>76</v>
      </c>
      <c r="E160" s="84" t="s">
        <v>306</v>
      </c>
      <c r="F160" s="84" t="s">
        <v>75</v>
      </c>
      <c r="G160" s="9" t="s">
        <v>28</v>
      </c>
      <c r="H160" s="5" t="s">
        <v>5</v>
      </c>
      <c r="I160" s="84"/>
      <c r="J160" s="248">
        <v>1500000</v>
      </c>
      <c r="K160" s="39"/>
      <c r="L160" s="39"/>
      <c r="M160" s="7" t="s">
        <v>299</v>
      </c>
      <c r="N160" s="88">
        <v>1500000</v>
      </c>
      <c r="O160" s="248">
        <f t="shared" si="41"/>
        <v>100</v>
      </c>
      <c r="P160" s="91" t="s">
        <v>141</v>
      </c>
      <c r="Q160" s="91" t="s">
        <v>141</v>
      </c>
      <c r="R160" s="88"/>
      <c r="S160" s="88"/>
      <c r="T160" s="88">
        <f t="shared" si="42"/>
        <v>0</v>
      </c>
      <c r="U160" s="248">
        <f t="shared" si="43"/>
        <v>0</v>
      </c>
      <c r="V160" s="8">
        <f t="shared" si="44"/>
        <v>1500000</v>
      </c>
      <c r="W160" s="39">
        <f t="shared" si="45"/>
        <v>100</v>
      </c>
      <c r="X160" s="39"/>
      <c r="Y160" s="166"/>
      <c r="Z160" s="46"/>
      <c r="AA160" s="44"/>
      <c r="AB160" s="44"/>
      <c r="AC160" s="44"/>
      <c r="AD160" s="44"/>
      <c r="AE160" s="44"/>
      <c r="AF160" s="44"/>
      <c r="AG160" s="44"/>
      <c r="AH160" s="44"/>
      <c r="AI160" s="44"/>
    </row>
    <row r="161" spans="1:35" s="25" customFormat="1" ht="13.5">
      <c r="A161" s="216"/>
      <c r="B161" s="271" t="s">
        <v>264</v>
      </c>
      <c r="C161" s="217"/>
      <c r="D161" s="216" t="s">
        <v>76</v>
      </c>
      <c r="E161" s="216" t="s">
        <v>306</v>
      </c>
      <c r="F161" s="216" t="s">
        <v>75</v>
      </c>
      <c r="G161" s="217" t="s">
        <v>28</v>
      </c>
      <c r="H161" s="216" t="s">
        <v>5</v>
      </c>
      <c r="I161" s="216"/>
      <c r="J161" s="239">
        <f>J162</f>
        <v>71250000</v>
      </c>
      <c r="K161" s="239">
        <f aca="true" t="shared" si="51" ref="K161:X162">K162</f>
        <v>0</v>
      </c>
      <c r="L161" s="239">
        <f t="shared" si="51"/>
        <v>0</v>
      </c>
      <c r="M161" s="239"/>
      <c r="N161" s="239">
        <f t="shared" si="51"/>
        <v>71250000</v>
      </c>
      <c r="O161" s="239">
        <f t="shared" si="41"/>
        <v>100</v>
      </c>
      <c r="P161" s="239"/>
      <c r="Q161" s="239"/>
      <c r="R161" s="239">
        <f t="shared" si="51"/>
        <v>0</v>
      </c>
      <c r="S161" s="239">
        <f t="shared" si="51"/>
        <v>71100000</v>
      </c>
      <c r="T161" s="239">
        <f t="shared" si="51"/>
        <v>71100000</v>
      </c>
      <c r="U161" s="239">
        <f>T161/J161*100</f>
        <v>99.78947368421053</v>
      </c>
      <c r="V161" s="239">
        <f t="shared" si="51"/>
        <v>150000</v>
      </c>
      <c r="W161" s="239">
        <f t="shared" si="51"/>
        <v>0.21052631578947367</v>
      </c>
      <c r="X161" s="239">
        <f t="shared" si="51"/>
        <v>0</v>
      </c>
      <c r="Y161" s="166"/>
      <c r="Z161" s="46"/>
      <c r="AA161" s="44"/>
      <c r="AB161" s="44"/>
      <c r="AC161" s="44"/>
      <c r="AD161" s="44"/>
      <c r="AE161" s="44"/>
      <c r="AF161" s="44"/>
      <c r="AG161" s="44"/>
      <c r="AH161" s="44"/>
      <c r="AI161" s="44"/>
    </row>
    <row r="162" spans="1:35" s="26" customFormat="1" ht="13.5">
      <c r="A162" s="107"/>
      <c r="B162" s="242" t="s">
        <v>287</v>
      </c>
      <c r="C162" s="108" t="s">
        <v>297</v>
      </c>
      <c r="D162" s="107" t="s">
        <v>76</v>
      </c>
      <c r="E162" s="107" t="s">
        <v>306</v>
      </c>
      <c r="F162" s="107" t="s">
        <v>75</v>
      </c>
      <c r="G162" s="10" t="s">
        <v>28</v>
      </c>
      <c r="H162" s="102" t="s">
        <v>5</v>
      </c>
      <c r="I162" s="107"/>
      <c r="J162" s="243">
        <f>J163</f>
        <v>71250000</v>
      </c>
      <c r="K162" s="243">
        <f t="shared" si="51"/>
        <v>0</v>
      </c>
      <c r="L162" s="243">
        <f t="shared" si="51"/>
        <v>0</v>
      </c>
      <c r="M162" s="243"/>
      <c r="N162" s="243">
        <f t="shared" si="51"/>
        <v>71250000</v>
      </c>
      <c r="O162" s="243">
        <f t="shared" si="41"/>
        <v>100</v>
      </c>
      <c r="P162" s="243"/>
      <c r="Q162" s="243"/>
      <c r="R162" s="243">
        <f t="shared" si="51"/>
        <v>0</v>
      </c>
      <c r="S162" s="243">
        <f t="shared" si="51"/>
        <v>71100000</v>
      </c>
      <c r="T162" s="243">
        <f t="shared" si="51"/>
        <v>71100000</v>
      </c>
      <c r="U162" s="243">
        <f>T162/J162*100</f>
        <v>99.78947368421053</v>
      </c>
      <c r="V162" s="243">
        <f t="shared" si="51"/>
        <v>150000</v>
      </c>
      <c r="W162" s="243">
        <f t="shared" si="51"/>
        <v>0.21052631578947367</v>
      </c>
      <c r="X162" s="243">
        <f t="shared" si="51"/>
        <v>0</v>
      </c>
      <c r="Y162" s="51"/>
      <c r="Z162" s="45"/>
      <c r="AA162" s="43"/>
      <c r="AB162" s="43"/>
      <c r="AC162" s="43"/>
      <c r="AD162" s="43"/>
      <c r="AE162" s="43"/>
      <c r="AF162" s="43"/>
      <c r="AG162" s="43"/>
      <c r="AH162" s="43"/>
      <c r="AI162" s="43"/>
    </row>
    <row r="163" spans="1:35" s="25" customFormat="1" ht="13.5">
      <c r="A163" s="84"/>
      <c r="B163" s="247" t="s">
        <v>288</v>
      </c>
      <c r="C163" s="87" t="s">
        <v>298</v>
      </c>
      <c r="D163" s="84" t="s">
        <v>76</v>
      </c>
      <c r="E163" s="84" t="s">
        <v>306</v>
      </c>
      <c r="F163" s="84" t="s">
        <v>75</v>
      </c>
      <c r="G163" s="9" t="s">
        <v>28</v>
      </c>
      <c r="H163" s="5" t="s">
        <v>5</v>
      </c>
      <c r="I163" s="84"/>
      <c r="J163" s="248">
        <v>71250000</v>
      </c>
      <c r="K163" s="39"/>
      <c r="L163" s="39"/>
      <c r="M163" s="7" t="s">
        <v>221</v>
      </c>
      <c r="N163" s="88">
        <v>71250000</v>
      </c>
      <c r="O163" s="248">
        <f t="shared" si="41"/>
        <v>100</v>
      </c>
      <c r="P163" s="91" t="s">
        <v>141</v>
      </c>
      <c r="Q163" s="91" t="s">
        <v>141</v>
      </c>
      <c r="R163" s="88"/>
      <c r="S163" s="88">
        <v>71100000</v>
      </c>
      <c r="T163" s="88">
        <f t="shared" si="42"/>
        <v>71100000</v>
      </c>
      <c r="U163" s="248">
        <f>T163/J163*100</f>
        <v>99.78947368421053</v>
      </c>
      <c r="V163" s="8">
        <f t="shared" si="44"/>
        <v>150000</v>
      </c>
      <c r="W163" s="39">
        <f t="shared" si="45"/>
        <v>0.21052631578947367</v>
      </c>
      <c r="X163" s="39"/>
      <c r="Y163" s="166"/>
      <c r="Z163" s="46"/>
      <c r="AA163" s="44"/>
      <c r="AB163" s="44"/>
      <c r="AC163" s="44"/>
      <c r="AD163" s="44"/>
      <c r="AE163" s="44"/>
      <c r="AF163" s="44"/>
      <c r="AG163" s="44"/>
      <c r="AH163" s="44"/>
      <c r="AI163" s="44"/>
    </row>
    <row r="164" spans="1:35" s="26" customFormat="1" ht="13.5" customHeight="1" thickBot="1">
      <c r="A164" s="100"/>
      <c r="B164" s="99" t="s">
        <v>7</v>
      </c>
      <c r="C164" s="100"/>
      <c r="D164" s="100"/>
      <c r="E164" s="172"/>
      <c r="F164" s="172"/>
      <c r="G164" s="172"/>
      <c r="H164" s="172"/>
      <c r="I164" s="172"/>
      <c r="J164" s="101">
        <f>J11</f>
        <v>8399886168</v>
      </c>
      <c r="K164" s="101"/>
      <c r="L164" s="101"/>
      <c r="M164" s="101"/>
      <c r="N164" s="101">
        <f aca="true" t="shared" si="52" ref="N164:W164">N11</f>
        <v>4574374258</v>
      </c>
      <c r="O164" s="101"/>
      <c r="P164" s="101"/>
      <c r="Q164" s="101"/>
      <c r="R164" s="101">
        <f t="shared" si="52"/>
        <v>625434133</v>
      </c>
      <c r="S164" s="101">
        <f t="shared" si="52"/>
        <v>2437447125</v>
      </c>
      <c r="T164" s="101">
        <f t="shared" si="52"/>
        <v>3061881258</v>
      </c>
      <c r="U164" s="101"/>
      <c r="V164" s="101">
        <f>V11</f>
        <v>5338004910</v>
      </c>
      <c r="W164" s="101">
        <f t="shared" si="52"/>
        <v>63.54853867348266</v>
      </c>
      <c r="X164" s="101"/>
      <c r="Y164" s="52"/>
      <c r="Z164" s="46"/>
      <c r="AA164" s="43"/>
      <c r="AB164" s="43"/>
      <c r="AC164" s="43"/>
      <c r="AD164" s="43"/>
      <c r="AE164" s="43"/>
      <c r="AF164" s="43"/>
      <c r="AG164" s="43"/>
      <c r="AH164" s="43"/>
      <c r="AI164" s="43"/>
    </row>
    <row r="165" spans="1:35" s="26" customFormat="1" ht="13.5" customHeight="1" thickTop="1">
      <c r="A165" s="93" t="s">
        <v>154</v>
      </c>
      <c r="B165" s="93"/>
      <c r="C165" s="13"/>
      <c r="D165" s="13"/>
      <c r="E165" s="14"/>
      <c r="F165" s="14"/>
      <c r="G165" s="14"/>
      <c r="H165" s="14"/>
      <c r="I165" s="14"/>
      <c r="J165" s="15"/>
      <c r="K165" s="16"/>
      <c r="L165" s="16"/>
      <c r="M165" s="154"/>
      <c r="N165" s="113"/>
      <c r="O165" s="201"/>
      <c r="P165" s="18"/>
      <c r="Q165" s="18"/>
      <c r="R165" s="113"/>
      <c r="S165" s="280"/>
      <c r="T165" s="281"/>
      <c r="U165" s="201"/>
      <c r="V165" s="19"/>
      <c r="W165" s="192"/>
      <c r="X165" s="16"/>
      <c r="Y165" s="41"/>
      <c r="Z165" s="45"/>
      <c r="AA165" s="43"/>
      <c r="AB165" s="43"/>
      <c r="AC165" s="43"/>
      <c r="AD165" s="43"/>
      <c r="AE165" s="43"/>
      <c r="AF165" s="43"/>
      <c r="AG165" s="43"/>
      <c r="AH165" s="43"/>
      <c r="AI165" s="43"/>
    </row>
    <row r="166" spans="1:35" s="25" customFormat="1" ht="13.5">
      <c r="A166" s="21"/>
      <c r="B166" s="22" t="s">
        <v>22</v>
      </c>
      <c r="C166" s="22"/>
      <c r="D166" s="22"/>
      <c r="E166" s="22"/>
      <c r="F166" s="22"/>
      <c r="G166" s="22"/>
      <c r="H166" s="22"/>
      <c r="I166" s="22"/>
      <c r="J166" s="180"/>
      <c r="K166" s="21"/>
      <c r="L166" s="20"/>
      <c r="M166" s="154"/>
      <c r="N166" s="114"/>
      <c r="O166" s="21"/>
      <c r="P166" s="171"/>
      <c r="Q166" s="171"/>
      <c r="R166" s="361" t="s">
        <v>324</v>
      </c>
      <c r="S166" s="361"/>
      <c r="T166" s="361"/>
      <c r="U166" s="361"/>
      <c r="V166" s="361"/>
      <c r="W166" s="361"/>
      <c r="X166" s="21"/>
      <c r="Y166" s="38"/>
      <c r="Z166" s="46"/>
      <c r="AA166" s="44"/>
      <c r="AB166" s="44"/>
      <c r="AC166" s="44"/>
      <c r="AD166" s="44"/>
      <c r="AE166" s="44"/>
      <c r="AF166" s="44"/>
      <c r="AG166" s="44"/>
      <c r="AH166" s="44"/>
      <c r="AI166" s="44"/>
    </row>
    <row r="167" spans="1:35" s="25" customFormat="1" ht="13.5">
      <c r="A167" s="21"/>
      <c r="B167" s="22" t="s">
        <v>304</v>
      </c>
      <c r="C167" s="22"/>
      <c r="D167" s="22"/>
      <c r="E167" s="22"/>
      <c r="F167" s="22"/>
      <c r="G167" s="22"/>
      <c r="H167" s="22"/>
      <c r="I167" s="22"/>
      <c r="J167" s="22"/>
      <c r="K167" s="21"/>
      <c r="L167" s="20"/>
      <c r="M167" s="155"/>
      <c r="N167" s="115"/>
      <c r="O167" s="21"/>
      <c r="P167" s="171"/>
      <c r="Q167" s="171"/>
      <c r="R167" s="282"/>
      <c r="S167" s="282"/>
      <c r="T167" s="283"/>
      <c r="U167" s="21"/>
      <c r="V167" s="21"/>
      <c r="W167" s="21"/>
      <c r="X167" s="21"/>
      <c r="Y167" s="38"/>
      <c r="Z167" s="46"/>
      <c r="AA167" s="44"/>
      <c r="AB167" s="44"/>
      <c r="AC167" s="44"/>
      <c r="AD167" s="44"/>
      <c r="AE167" s="44"/>
      <c r="AF167" s="44"/>
      <c r="AG167" s="44"/>
      <c r="AH167" s="44"/>
      <c r="AI167" s="44"/>
    </row>
    <row r="168" spans="1:35" s="25" customFormat="1" ht="13.5">
      <c r="A168" s="21"/>
      <c r="B168" s="22" t="s">
        <v>8</v>
      </c>
      <c r="C168" s="22"/>
      <c r="D168" s="22"/>
      <c r="E168" s="22"/>
      <c r="F168" s="22"/>
      <c r="G168" s="22"/>
      <c r="H168" s="22"/>
      <c r="I168" s="22"/>
      <c r="J168" s="22"/>
      <c r="K168" s="21"/>
      <c r="L168" s="20"/>
      <c r="M168" s="155"/>
      <c r="N168" s="115"/>
      <c r="O168" s="21"/>
      <c r="P168" s="171"/>
      <c r="Q168" s="171"/>
      <c r="R168" s="361" t="s">
        <v>9</v>
      </c>
      <c r="S168" s="361"/>
      <c r="T168" s="361"/>
      <c r="U168" s="361"/>
      <c r="V168" s="361"/>
      <c r="W168" s="361"/>
      <c r="X168" s="21"/>
      <c r="Y168" s="38"/>
      <c r="Z168" s="46"/>
      <c r="AA168" s="44"/>
      <c r="AB168" s="44"/>
      <c r="AC168" s="44"/>
      <c r="AD168" s="44"/>
      <c r="AE168" s="44"/>
      <c r="AF168" s="44"/>
      <c r="AG168" s="44"/>
      <c r="AH168" s="44"/>
      <c r="AI168" s="44"/>
    </row>
    <row r="169" spans="1:35" s="25" customFormat="1" ht="13.5">
      <c r="A169" s="21"/>
      <c r="B169" s="21"/>
      <c r="C169" s="22"/>
      <c r="D169" s="22"/>
      <c r="E169" s="22"/>
      <c r="F169" s="22"/>
      <c r="G169" s="22"/>
      <c r="H169" s="22"/>
      <c r="I169" s="22"/>
      <c r="J169" s="22"/>
      <c r="K169" s="21"/>
      <c r="L169" s="20"/>
      <c r="M169" s="155"/>
      <c r="N169" s="115"/>
      <c r="O169" s="21"/>
      <c r="P169" s="171"/>
      <c r="Q169" s="171"/>
      <c r="R169" s="283"/>
      <c r="S169" s="283"/>
      <c r="T169" s="283"/>
      <c r="U169" s="21"/>
      <c r="V169" s="22"/>
      <c r="W169" s="21"/>
      <c r="X169" s="21"/>
      <c r="Y169" s="38"/>
      <c r="Z169" s="46"/>
      <c r="AA169" s="44"/>
      <c r="AB169" s="44"/>
      <c r="AC169" s="44"/>
      <c r="AD169" s="44"/>
      <c r="AE169" s="44"/>
      <c r="AF169" s="44"/>
      <c r="AG169" s="44"/>
      <c r="AH169" s="44"/>
      <c r="AI169" s="44"/>
    </row>
    <row r="170" spans="1:35" s="25" customFormat="1" ht="13.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0"/>
      <c r="M170" s="155"/>
      <c r="N170" s="116"/>
      <c r="O170" s="21"/>
      <c r="P170" s="171" t="s">
        <v>39</v>
      </c>
      <c r="Q170" s="171"/>
      <c r="R170" s="282"/>
      <c r="S170" s="282"/>
      <c r="T170" s="283"/>
      <c r="U170" s="21"/>
      <c r="V170" s="21"/>
      <c r="W170" s="21"/>
      <c r="X170" s="21"/>
      <c r="Y170" s="38"/>
      <c r="Z170" s="46"/>
      <c r="AA170" s="44"/>
      <c r="AB170" s="44"/>
      <c r="AC170" s="44"/>
      <c r="AD170" s="44"/>
      <c r="AE170" s="44"/>
      <c r="AF170" s="44"/>
      <c r="AG170" s="44"/>
      <c r="AH170" s="44"/>
      <c r="AI170" s="44"/>
    </row>
    <row r="171" spans="1:35" s="25" customFormat="1" ht="13.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0"/>
      <c r="M171" s="155"/>
      <c r="N171" s="115"/>
      <c r="O171" s="21"/>
      <c r="P171" s="171"/>
      <c r="Q171" s="171"/>
      <c r="R171" s="282"/>
      <c r="S171" s="282"/>
      <c r="T171" s="283"/>
      <c r="U171" s="21"/>
      <c r="V171" s="21"/>
      <c r="W171" s="21"/>
      <c r="X171" s="21"/>
      <c r="Y171" s="38"/>
      <c r="Z171" s="46"/>
      <c r="AA171" s="44"/>
      <c r="AB171" s="44"/>
      <c r="AC171" s="44"/>
      <c r="AD171" s="44"/>
      <c r="AE171" s="44"/>
      <c r="AF171" s="44"/>
      <c r="AG171" s="44"/>
      <c r="AH171" s="44"/>
      <c r="AI171" s="44"/>
    </row>
    <row r="172" spans="1:35" s="25" customFormat="1" ht="12" customHeight="1">
      <c r="A172" s="21"/>
      <c r="B172" s="92" t="s">
        <v>156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20"/>
      <c r="M172" s="155"/>
      <c r="N172" s="115"/>
      <c r="O172" s="21"/>
      <c r="P172" s="171"/>
      <c r="Q172" s="171"/>
      <c r="R172" s="282"/>
      <c r="S172" s="282"/>
      <c r="T172" s="283"/>
      <c r="U172" s="21"/>
      <c r="V172" s="21"/>
      <c r="W172" s="21"/>
      <c r="X172" s="21"/>
      <c r="Y172" s="38"/>
      <c r="Z172" s="46"/>
      <c r="AA172" s="44"/>
      <c r="AB172" s="44"/>
      <c r="AC172" s="44"/>
      <c r="AD172" s="44"/>
      <c r="AE172" s="44"/>
      <c r="AF172" s="44"/>
      <c r="AG172" s="44"/>
      <c r="AH172" s="44"/>
      <c r="AI172" s="44"/>
    </row>
    <row r="173" spans="1:35" s="25" customFormat="1" ht="13.5">
      <c r="A173" s="21"/>
      <c r="B173" s="4" t="s">
        <v>157</v>
      </c>
      <c r="C173" s="92"/>
      <c r="D173" s="92"/>
      <c r="E173" s="92"/>
      <c r="F173" s="92"/>
      <c r="G173" s="92"/>
      <c r="H173" s="92"/>
      <c r="I173" s="92"/>
      <c r="J173" s="92"/>
      <c r="K173" s="21"/>
      <c r="L173" s="20"/>
      <c r="M173" s="155"/>
      <c r="N173" s="115"/>
      <c r="O173" s="21"/>
      <c r="P173" s="171"/>
      <c r="Q173" s="171"/>
      <c r="R173" s="359" t="s">
        <v>155</v>
      </c>
      <c r="S173" s="359"/>
      <c r="T173" s="359"/>
      <c r="U173" s="359"/>
      <c r="V173" s="359"/>
      <c r="W173" s="359"/>
      <c r="X173" s="23"/>
      <c r="Y173" s="38"/>
      <c r="Z173" s="46"/>
      <c r="AA173" s="44"/>
      <c r="AB173" s="44"/>
      <c r="AC173" s="44"/>
      <c r="AD173" s="44"/>
      <c r="AE173" s="44"/>
      <c r="AF173" s="44"/>
      <c r="AG173" s="44"/>
      <c r="AH173" s="44"/>
      <c r="AI173" s="44"/>
    </row>
    <row r="174" spans="1:35" s="25" customFormat="1" ht="12.75" customHeight="1">
      <c r="A174" s="21"/>
      <c r="C174" s="4"/>
      <c r="D174" s="4"/>
      <c r="E174" s="4"/>
      <c r="F174" s="4"/>
      <c r="G174" s="4"/>
      <c r="H174" s="4"/>
      <c r="I174" s="4"/>
      <c r="J174" s="4"/>
      <c r="K174" s="21"/>
      <c r="L174" s="20"/>
      <c r="M174" s="155"/>
      <c r="N174" s="115"/>
      <c r="O174" s="21"/>
      <c r="P174" s="171"/>
      <c r="Q174" s="171"/>
      <c r="R174" s="360" t="s">
        <v>153</v>
      </c>
      <c r="S174" s="360"/>
      <c r="T174" s="360"/>
      <c r="U174" s="360"/>
      <c r="V174" s="360"/>
      <c r="W174" s="360"/>
      <c r="X174" s="21"/>
      <c r="Y174" s="38"/>
      <c r="Z174" s="47"/>
      <c r="AA174" s="44"/>
      <c r="AB174" s="44"/>
      <c r="AC174" s="44"/>
      <c r="AD174" s="44"/>
      <c r="AE174" s="44"/>
      <c r="AF174" s="44"/>
      <c r="AG174" s="44"/>
      <c r="AH174" s="44"/>
      <c r="AI174" s="44"/>
    </row>
    <row r="175" spans="1:35" s="25" customFormat="1" ht="13.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21"/>
      <c r="L175" s="20"/>
      <c r="M175" s="155"/>
      <c r="N175" s="115"/>
      <c r="O175" s="21"/>
      <c r="P175" s="171"/>
      <c r="Q175" s="171"/>
      <c r="R175" s="282"/>
      <c r="S175" s="282"/>
      <c r="T175" s="282"/>
      <c r="U175" s="21"/>
      <c r="V175" s="21"/>
      <c r="W175" s="21"/>
      <c r="X175" s="21"/>
      <c r="Y175" s="49"/>
      <c r="Z175" s="48"/>
      <c r="AA175" s="44"/>
      <c r="AB175" s="44"/>
      <c r="AC175" s="44"/>
      <c r="AD175" s="44"/>
      <c r="AE175" s="44"/>
      <c r="AF175" s="44"/>
      <c r="AG175" s="44"/>
      <c r="AH175" s="44"/>
      <c r="AI175" s="44"/>
    </row>
    <row r="176" spans="2:26" ht="11.25" customHeight="1">
      <c r="B176" s="4"/>
      <c r="C176" s="4"/>
      <c r="D176" s="4"/>
      <c r="E176" s="4"/>
      <c r="F176" s="4"/>
      <c r="G176" s="4"/>
      <c r="H176" s="4"/>
      <c r="I176" s="4"/>
      <c r="J176" s="4"/>
      <c r="L176" s="2"/>
      <c r="M176" s="156"/>
      <c r="N176" s="50"/>
      <c r="Y176" s="17"/>
      <c r="Z176" s="50"/>
    </row>
    <row r="177" spans="2:14" ht="13.5">
      <c r="B177" s="4"/>
      <c r="C177" s="4"/>
      <c r="D177" s="4"/>
      <c r="E177" s="4"/>
      <c r="F177" s="4"/>
      <c r="G177" s="4"/>
      <c r="H177" s="4"/>
      <c r="I177" s="4"/>
      <c r="J177" s="4"/>
      <c r="L177" s="2"/>
      <c r="M177" s="156"/>
      <c r="N177" s="50"/>
    </row>
    <row r="187" spans="1:35" s="117" customFormat="1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157"/>
      <c r="O187" s="193"/>
      <c r="P187" s="25"/>
      <c r="Q187" s="25"/>
      <c r="U187" s="193"/>
      <c r="V187" s="3"/>
      <c r="W187" s="193"/>
      <c r="X187" s="3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</row>
    <row r="188" spans="1:35" s="117" customFormat="1" ht="13.5">
      <c r="A188" s="3"/>
      <c r="B188" s="30"/>
      <c r="C188" s="31"/>
      <c r="D188" s="2"/>
      <c r="E188" s="1"/>
      <c r="F188" s="1"/>
      <c r="G188" s="4"/>
      <c r="H188" s="4"/>
      <c r="I188" s="4"/>
      <c r="J188" s="4"/>
      <c r="K188" s="3"/>
      <c r="L188" s="2"/>
      <c r="M188" s="156"/>
      <c r="O188" s="193"/>
      <c r="P188" s="25"/>
      <c r="Q188" s="25"/>
      <c r="U188" s="193"/>
      <c r="V188" s="3"/>
      <c r="W188" s="193"/>
      <c r="X188" s="3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</row>
    <row r="189" spans="1:35" s="117" customFormat="1" ht="13.5">
      <c r="A189" s="3"/>
      <c r="B189" s="30"/>
      <c r="C189" s="31"/>
      <c r="D189" s="2"/>
      <c r="E189" s="1"/>
      <c r="F189" s="1"/>
      <c r="G189" s="4"/>
      <c r="H189" s="4"/>
      <c r="I189" s="4"/>
      <c r="J189" s="4"/>
      <c r="K189" s="3"/>
      <c r="L189" s="2"/>
      <c r="M189" s="156"/>
      <c r="O189" s="193"/>
      <c r="P189" s="25"/>
      <c r="Q189" s="25"/>
      <c r="U189" s="193"/>
      <c r="V189" s="3"/>
      <c r="W189" s="193"/>
      <c r="X189" s="3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</row>
    <row r="190" spans="1:35" s="117" customFormat="1" ht="13.5">
      <c r="A190" s="3"/>
      <c r="B190" s="30"/>
      <c r="C190" s="31"/>
      <c r="D190" s="2"/>
      <c r="E190" s="1"/>
      <c r="F190" s="1"/>
      <c r="G190" s="4"/>
      <c r="H190" s="4"/>
      <c r="I190" s="4"/>
      <c r="J190" s="4"/>
      <c r="K190" s="3"/>
      <c r="L190" s="2"/>
      <c r="M190" s="156"/>
      <c r="O190" s="193"/>
      <c r="P190" s="25"/>
      <c r="Q190" s="25"/>
      <c r="U190" s="193"/>
      <c r="V190" s="3"/>
      <c r="W190" s="193"/>
      <c r="X190" s="3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</row>
    <row r="191" spans="1:35" s="117" customFormat="1" ht="13.5">
      <c r="A191" s="3"/>
      <c r="B191" s="30"/>
      <c r="C191" s="1"/>
      <c r="D191" s="2"/>
      <c r="E191" s="1"/>
      <c r="F191" s="1"/>
      <c r="G191" s="4"/>
      <c r="H191" s="4"/>
      <c r="I191" s="4"/>
      <c r="J191" s="4"/>
      <c r="K191" s="3"/>
      <c r="L191" s="2"/>
      <c r="M191" s="156"/>
      <c r="O191" s="193"/>
      <c r="P191" s="25"/>
      <c r="Q191" s="25"/>
      <c r="U191" s="193"/>
      <c r="V191" s="3"/>
      <c r="W191" s="193"/>
      <c r="X191" s="3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</row>
    <row r="192" spans="1:35" s="117" customFormat="1" ht="13.5">
      <c r="A192" s="3"/>
      <c r="B192" s="30"/>
      <c r="C192" s="1"/>
      <c r="D192" s="2"/>
      <c r="E192" s="1"/>
      <c r="F192" s="1"/>
      <c r="G192" s="4"/>
      <c r="H192" s="4"/>
      <c r="I192" s="4"/>
      <c r="J192" s="4"/>
      <c r="K192" s="3"/>
      <c r="L192" s="2"/>
      <c r="M192" s="156"/>
      <c r="O192" s="193"/>
      <c r="P192" s="25"/>
      <c r="Q192" s="25"/>
      <c r="U192" s="193"/>
      <c r="V192" s="3"/>
      <c r="W192" s="193"/>
      <c r="X192" s="3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</row>
    <row r="193" spans="1:35" s="117" customFormat="1" ht="13.5">
      <c r="A193" s="3"/>
      <c r="B193" s="30"/>
      <c r="C193" s="1"/>
      <c r="D193" s="2"/>
      <c r="E193" s="1"/>
      <c r="F193" s="1"/>
      <c r="G193" s="4"/>
      <c r="H193" s="4"/>
      <c r="I193" s="4"/>
      <c r="J193" s="4"/>
      <c r="K193" s="3"/>
      <c r="L193" s="2"/>
      <c r="M193" s="156"/>
      <c r="O193" s="193"/>
      <c r="P193" s="25"/>
      <c r="Q193" s="25"/>
      <c r="U193" s="193"/>
      <c r="V193" s="3"/>
      <c r="W193" s="193"/>
      <c r="X193" s="3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</row>
    <row r="194" spans="1:35" s="117" customFormat="1" ht="13.5">
      <c r="A194" s="3"/>
      <c r="B194" s="30"/>
      <c r="C194" s="1"/>
      <c r="D194" s="2"/>
      <c r="E194" s="1"/>
      <c r="F194" s="1"/>
      <c r="G194" s="4"/>
      <c r="H194" s="4"/>
      <c r="I194" s="4"/>
      <c r="J194" s="4"/>
      <c r="K194" s="3"/>
      <c r="L194" s="2"/>
      <c r="M194" s="156"/>
      <c r="O194" s="193"/>
      <c r="P194" s="25"/>
      <c r="Q194" s="25"/>
      <c r="U194" s="193"/>
      <c r="V194" s="3"/>
      <c r="W194" s="193"/>
      <c r="X194" s="3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</row>
    <row r="195" spans="1:35" s="117" customFormat="1" ht="13.5">
      <c r="A195" s="3"/>
      <c r="B195" s="30"/>
      <c r="C195" s="31"/>
      <c r="D195" s="2"/>
      <c r="E195" s="1"/>
      <c r="F195" s="1"/>
      <c r="G195" s="4"/>
      <c r="H195" s="4"/>
      <c r="I195" s="4"/>
      <c r="J195" s="4"/>
      <c r="K195" s="3"/>
      <c r="L195" s="2"/>
      <c r="M195" s="156"/>
      <c r="O195" s="193"/>
      <c r="P195" s="25"/>
      <c r="Q195" s="25"/>
      <c r="U195" s="193"/>
      <c r="V195" s="3"/>
      <c r="W195" s="193"/>
      <c r="X195" s="3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</row>
    <row r="196" spans="1:35" s="117" customFormat="1" ht="13.5">
      <c r="A196" s="3"/>
      <c r="B196" s="32"/>
      <c r="C196" s="33"/>
      <c r="D196" s="2"/>
      <c r="E196" s="1"/>
      <c r="F196" s="1"/>
      <c r="G196" s="4"/>
      <c r="H196" s="4"/>
      <c r="I196" s="4"/>
      <c r="J196" s="4"/>
      <c r="K196" s="3"/>
      <c r="L196" s="2"/>
      <c r="M196" s="156"/>
      <c r="O196" s="193"/>
      <c r="P196" s="25"/>
      <c r="Q196" s="25"/>
      <c r="U196" s="193"/>
      <c r="V196" s="3"/>
      <c r="W196" s="193"/>
      <c r="X196" s="3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</row>
    <row r="197" spans="1:35" s="117" customFormat="1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2"/>
      <c r="M197" s="156"/>
      <c r="O197" s="193"/>
      <c r="P197" s="25"/>
      <c r="Q197" s="25"/>
      <c r="U197" s="193"/>
      <c r="V197" s="3"/>
      <c r="W197" s="193"/>
      <c r="X197" s="3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</row>
    <row r="198" spans="1:35" s="117" customFormat="1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2"/>
      <c r="M198" s="156"/>
      <c r="O198" s="193"/>
      <c r="P198" s="25"/>
      <c r="Q198" s="25"/>
      <c r="U198" s="193"/>
      <c r="V198" s="3"/>
      <c r="W198" s="193"/>
      <c r="X198" s="3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</row>
    <row r="199" spans="1:35" s="117" customFormat="1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2"/>
      <c r="M199" s="156"/>
      <c r="O199" s="193"/>
      <c r="P199" s="25"/>
      <c r="Q199" s="25"/>
      <c r="U199" s="193"/>
      <c r="V199" s="3"/>
      <c r="W199" s="193"/>
      <c r="X199" s="3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</row>
    <row r="200" spans="1:35" s="117" customFormat="1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2"/>
      <c r="M200" s="156"/>
      <c r="O200" s="193"/>
      <c r="P200" s="25"/>
      <c r="Q200" s="25"/>
      <c r="U200" s="193"/>
      <c r="V200" s="3"/>
      <c r="W200" s="193"/>
      <c r="X200" s="3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</row>
    <row r="201" spans="1:35" s="117" customFormat="1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2"/>
      <c r="M201" s="156"/>
      <c r="O201" s="193"/>
      <c r="P201" s="25"/>
      <c r="Q201" s="25"/>
      <c r="U201" s="193"/>
      <c r="V201" s="3"/>
      <c r="W201" s="193"/>
      <c r="X201" s="3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</row>
    <row r="202" spans="1:35" s="117" customFormat="1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2"/>
      <c r="M202" s="156"/>
      <c r="O202" s="193"/>
      <c r="P202" s="25"/>
      <c r="Q202" s="25"/>
      <c r="U202" s="193"/>
      <c r="V202" s="3"/>
      <c r="W202" s="193"/>
      <c r="X202" s="3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</row>
    <row r="203" spans="1:35" s="117" customFormat="1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2"/>
      <c r="M203" s="156"/>
      <c r="O203" s="193"/>
      <c r="P203" s="25"/>
      <c r="Q203" s="25"/>
      <c r="U203" s="193"/>
      <c r="V203" s="3"/>
      <c r="W203" s="193"/>
      <c r="X203" s="3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</row>
    <row r="204" spans="1:35" s="117" customFormat="1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2"/>
      <c r="M204" s="156"/>
      <c r="O204" s="193"/>
      <c r="P204" s="25"/>
      <c r="Q204" s="25"/>
      <c r="U204" s="193"/>
      <c r="V204" s="3"/>
      <c r="W204" s="193"/>
      <c r="X204" s="3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</row>
    <row r="205" spans="1:35" s="117" customFormat="1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2"/>
      <c r="M205" s="156"/>
      <c r="O205" s="193"/>
      <c r="P205" s="25"/>
      <c r="Q205" s="25"/>
      <c r="U205" s="193"/>
      <c r="V205" s="3"/>
      <c r="W205" s="193"/>
      <c r="X205" s="3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</row>
    <row r="206" spans="1:35" s="117" customFormat="1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2"/>
      <c r="M206" s="156"/>
      <c r="O206" s="193"/>
      <c r="P206" s="25"/>
      <c r="Q206" s="25"/>
      <c r="U206" s="193"/>
      <c r="V206" s="3"/>
      <c r="W206" s="193"/>
      <c r="X206" s="3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</row>
    <row r="207" spans="1:35" s="117" customFormat="1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2"/>
      <c r="M207" s="156"/>
      <c r="O207" s="193"/>
      <c r="P207" s="25"/>
      <c r="Q207" s="25"/>
      <c r="U207" s="193"/>
      <c r="V207" s="3"/>
      <c r="W207" s="193"/>
      <c r="X207" s="3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</row>
    <row r="208" spans="1:35" s="117" customFormat="1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2"/>
      <c r="M208" s="156"/>
      <c r="O208" s="193"/>
      <c r="P208" s="25"/>
      <c r="Q208" s="25"/>
      <c r="U208" s="193"/>
      <c r="V208" s="3"/>
      <c r="W208" s="193"/>
      <c r="X208" s="3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</row>
    <row r="209" spans="1:35" s="117" customFormat="1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2"/>
      <c r="M209" s="156"/>
      <c r="O209" s="193"/>
      <c r="P209" s="25"/>
      <c r="Q209" s="25"/>
      <c r="U209" s="193"/>
      <c r="V209" s="3"/>
      <c r="W209" s="193"/>
      <c r="X209" s="3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</row>
    <row r="210" spans="1:35" s="117" customFormat="1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2"/>
      <c r="M210" s="156"/>
      <c r="O210" s="193"/>
      <c r="P210" s="25"/>
      <c r="Q210" s="25"/>
      <c r="U210" s="193"/>
      <c r="V210" s="3"/>
      <c r="W210" s="193"/>
      <c r="X210" s="3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</row>
    <row r="211" spans="1:35" s="117" customFormat="1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2"/>
      <c r="M211" s="156"/>
      <c r="O211" s="193"/>
      <c r="P211" s="25"/>
      <c r="Q211" s="25"/>
      <c r="U211" s="193"/>
      <c r="V211" s="3"/>
      <c r="W211" s="193"/>
      <c r="X211" s="3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</row>
    <row r="212" spans="1:35" s="117" customFormat="1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2"/>
      <c r="M212" s="156"/>
      <c r="O212" s="193"/>
      <c r="P212" s="25"/>
      <c r="Q212" s="25"/>
      <c r="U212" s="193"/>
      <c r="V212" s="3"/>
      <c r="W212" s="193"/>
      <c r="X212" s="3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</row>
    <row r="213" spans="1:35" s="117" customFormat="1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2"/>
      <c r="M213" s="156"/>
      <c r="O213" s="193"/>
      <c r="P213" s="25"/>
      <c r="Q213" s="25"/>
      <c r="U213" s="193"/>
      <c r="V213" s="3"/>
      <c r="W213" s="193"/>
      <c r="X213" s="3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</row>
    <row r="214" spans="1:35" s="117" customFormat="1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2"/>
      <c r="M214" s="156"/>
      <c r="O214" s="193"/>
      <c r="P214" s="25"/>
      <c r="Q214" s="25"/>
      <c r="U214" s="193"/>
      <c r="V214" s="3"/>
      <c r="W214" s="193"/>
      <c r="X214" s="3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</row>
    <row r="215" spans="1:35" s="117" customFormat="1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2"/>
      <c r="M215" s="156"/>
      <c r="O215" s="193"/>
      <c r="P215" s="25"/>
      <c r="Q215" s="25"/>
      <c r="U215" s="193"/>
      <c r="V215" s="3"/>
      <c r="W215" s="193"/>
      <c r="X215" s="3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</row>
    <row r="216" spans="1:35" s="117" customFormat="1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2"/>
      <c r="M216" s="156"/>
      <c r="O216" s="193"/>
      <c r="P216" s="25"/>
      <c r="Q216" s="25"/>
      <c r="U216" s="193"/>
      <c r="V216" s="3"/>
      <c r="W216" s="193"/>
      <c r="X216" s="3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</row>
    <row r="217" spans="1:35" s="117" customFormat="1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2"/>
      <c r="M217" s="156"/>
      <c r="O217" s="193"/>
      <c r="P217" s="25"/>
      <c r="Q217" s="25"/>
      <c r="U217" s="193"/>
      <c r="V217" s="3"/>
      <c r="W217" s="193"/>
      <c r="X217" s="3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</row>
    <row r="218" spans="1:35" s="117" customFormat="1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2"/>
      <c r="M218" s="156"/>
      <c r="O218" s="193"/>
      <c r="P218" s="25"/>
      <c r="Q218" s="25"/>
      <c r="U218" s="193"/>
      <c r="V218" s="3"/>
      <c r="W218" s="193"/>
      <c r="X218" s="3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</row>
    <row r="219" spans="1:35" s="117" customFormat="1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2"/>
      <c r="M219" s="156"/>
      <c r="O219" s="193"/>
      <c r="P219" s="25"/>
      <c r="Q219" s="25"/>
      <c r="U219" s="193"/>
      <c r="V219" s="3"/>
      <c r="W219" s="193"/>
      <c r="X219" s="3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</row>
    <row r="220" spans="1:35" s="117" customFormat="1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2"/>
      <c r="M220" s="156"/>
      <c r="O220" s="193"/>
      <c r="P220" s="25"/>
      <c r="Q220" s="25"/>
      <c r="U220" s="193"/>
      <c r="V220" s="3"/>
      <c r="W220" s="193"/>
      <c r="X220" s="3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</row>
    <row r="221" spans="1:35" s="117" customFormat="1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2"/>
      <c r="M221" s="156"/>
      <c r="O221" s="193"/>
      <c r="P221" s="25"/>
      <c r="Q221" s="25"/>
      <c r="U221" s="193"/>
      <c r="V221" s="3"/>
      <c r="W221" s="193"/>
      <c r="X221" s="3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</row>
    <row r="222" spans="1:35" s="117" customFormat="1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2"/>
      <c r="M222" s="156"/>
      <c r="O222" s="193"/>
      <c r="P222" s="25"/>
      <c r="Q222" s="25"/>
      <c r="U222" s="193"/>
      <c r="V222" s="3"/>
      <c r="W222" s="193"/>
      <c r="X222" s="3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</row>
    <row r="223" spans="1:35" s="117" customFormat="1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2"/>
      <c r="M223" s="156"/>
      <c r="O223" s="193"/>
      <c r="P223" s="25"/>
      <c r="Q223" s="25"/>
      <c r="U223" s="193"/>
      <c r="V223" s="3"/>
      <c r="W223" s="193"/>
      <c r="X223" s="3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</row>
    <row r="224" spans="1:35" s="117" customFormat="1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2"/>
      <c r="M224" s="156"/>
      <c r="O224" s="193"/>
      <c r="P224" s="25"/>
      <c r="Q224" s="25"/>
      <c r="U224" s="193"/>
      <c r="V224" s="3"/>
      <c r="W224" s="193"/>
      <c r="X224" s="3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</row>
    <row r="225" spans="1:35" s="117" customFormat="1" ht="13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2"/>
      <c r="M225" s="156"/>
      <c r="O225" s="193"/>
      <c r="P225" s="25"/>
      <c r="Q225" s="25"/>
      <c r="U225" s="193"/>
      <c r="V225" s="3"/>
      <c r="W225" s="193"/>
      <c r="X225" s="3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</row>
    <row r="226" spans="1:35" s="117" customFormat="1" ht="13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2"/>
      <c r="M226" s="156"/>
      <c r="O226" s="193"/>
      <c r="P226" s="25"/>
      <c r="Q226" s="25"/>
      <c r="U226" s="193"/>
      <c r="V226" s="3"/>
      <c r="W226" s="193"/>
      <c r="X226" s="3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</row>
    <row r="227" spans="1:35" s="117" customFormat="1" ht="13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2"/>
      <c r="M227" s="156"/>
      <c r="O227" s="193"/>
      <c r="P227" s="25"/>
      <c r="Q227" s="25"/>
      <c r="U227" s="193"/>
      <c r="V227" s="3"/>
      <c r="W227" s="193"/>
      <c r="X227" s="3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</row>
    <row r="228" spans="1:35" s="117" customFormat="1" ht="13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2"/>
      <c r="M228" s="156"/>
      <c r="O228" s="193"/>
      <c r="P228" s="25"/>
      <c r="Q228" s="25"/>
      <c r="U228" s="193"/>
      <c r="V228" s="3"/>
      <c r="W228" s="193"/>
      <c r="X228" s="3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</row>
    <row r="229" spans="1:35" s="117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2"/>
      <c r="M229" s="156"/>
      <c r="O229" s="193"/>
      <c r="P229" s="25"/>
      <c r="Q229" s="25"/>
      <c r="U229" s="193"/>
      <c r="V229" s="3"/>
      <c r="W229" s="193"/>
      <c r="X229" s="3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</row>
    <row r="230" spans="1:35" s="117" customFormat="1" ht="13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2"/>
      <c r="M230" s="156"/>
      <c r="O230" s="193"/>
      <c r="P230" s="25"/>
      <c r="Q230" s="25"/>
      <c r="U230" s="193"/>
      <c r="V230" s="3"/>
      <c r="W230" s="193"/>
      <c r="X230" s="3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</row>
    <row r="231" spans="1:35" s="117" customFormat="1" ht="13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2"/>
      <c r="M231" s="156"/>
      <c r="O231" s="193"/>
      <c r="P231" s="25"/>
      <c r="Q231" s="25"/>
      <c r="U231" s="193"/>
      <c r="V231" s="3"/>
      <c r="W231" s="193"/>
      <c r="X231" s="3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</row>
    <row r="232" spans="1:35" s="117" customFormat="1" ht="13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2"/>
      <c r="M232" s="156"/>
      <c r="O232" s="193"/>
      <c r="P232" s="25"/>
      <c r="Q232" s="25"/>
      <c r="U232" s="193"/>
      <c r="V232" s="3"/>
      <c r="W232" s="193"/>
      <c r="X232" s="3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</row>
    <row r="233" spans="1:35" s="117" customFormat="1" ht="13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2"/>
      <c r="M233" s="156"/>
      <c r="O233" s="193"/>
      <c r="P233" s="25"/>
      <c r="Q233" s="25"/>
      <c r="U233" s="193"/>
      <c r="V233" s="3"/>
      <c r="W233" s="193"/>
      <c r="X233" s="3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</row>
    <row r="234" spans="1:35" s="117" customFormat="1" ht="13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2"/>
      <c r="M234" s="156"/>
      <c r="O234" s="193"/>
      <c r="P234" s="25"/>
      <c r="Q234" s="25"/>
      <c r="U234" s="193"/>
      <c r="V234" s="3"/>
      <c r="W234" s="193"/>
      <c r="X234" s="3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</row>
    <row r="235" spans="12:13" ht="13.5">
      <c r="L235" s="2"/>
      <c r="M235" s="156"/>
    </row>
  </sheetData>
  <sheetProtection/>
  <mergeCells count="107">
    <mergeCell ref="R166:W166"/>
    <mergeCell ref="R168:W168"/>
    <mergeCell ref="R173:W173"/>
    <mergeCell ref="R174:W174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103:A104"/>
    <mergeCell ref="B103:B104"/>
    <mergeCell ref="C103:C104"/>
    <mergeCell ref="D103:D104"/>
    <mergeCell ref="E103:E104"/>
    <mergeCell ref="F103:F104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A73:A74"/>
    <mergeCell ref="B73:B74"/>
    <mergeCell ref="C73:C74"/>
    <mergeCell ref="D73:D74"/>
    <mergeCell ref="E73:E74"/>
    <mergeCell ref="F73:F7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R7:R9"/>
    <mergeCell ref="S7:S9"/>
    <mergeCell ref="T7:T9"/>
    <mergeCell ref="U7:U9"/>
    <mergeCell ref="A25:A26"/>
    <mergeCell ref="B25:B26"/>
    <mergeCell ref="C25:C26"/>
    <mergeCell ref="D25:D26"/>
    <mergeCell ref="E25:E26"/>
    <mergeCell ref="F25:F26"/>
    <mergeCell ref="R6:U6"/>
    <mergeCell ref="V6:V9"/>
    <mergeCell ref="W6:W9"/>
    <mergeCell ref="X6:X9"/>
    <mergeCell ref="G7:G9"/>
    <mergeCell ref="H7:H9"/>
    <mergeCell ref="I7:I9"/>
    <mergeCell ref="N7:N9"/>
    <mergeCell ref="O7:O9"/>
    <mergeCell ref="P7:P9"/>
    <mergeCell ref="J6:J9"/>
    <mergeCell ref="K6:K9"/>
    <mergeCell ref="L6:L9"/>
    <mergeCell ref="M6:M9"/>
    <mergeCell ref="N6:O6"/>
    <mergeCell ref="P6:Q6"/>
    <mergeCell ref="Q7:Q9"/>
    <mergeCell ref="A1:X1"/>
    <mergeCell ref="A2:X2"/>
    <mergeCell ref="A3:X3"/>
    <mergeCell ref="A6:A9"/>
    <mergeCell ref="B6:B9"/>
    <mergeCell ref="C6:C9"/>
    <mergeCell ref="D6:D9"/>
    <mergeCell ref="E6:E9"/>
    <mergeCell ref="F6:F9"/>
    <mergeCell ref="G6:I6"/>
  </mergeCells>
  <printOptions/>
  <pageMargins left="0.7874015748031497" right="1.1811023622047245" top="0.7874015748031497" bottom="0" header="0.1968503937007874" footer="0.31496062992125984"/>
  <pageSetup horizontalDpi="300" verticalDpi="3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MIRANTHA</cp:lastModifiedBy>
  <cp:lastPrinted>2020-06-04T00:52:37Z</cp:lastPrinted>
  <dcterms:created xsi:type="dcterms:W3CDTF">2010-02-24T01:42:20Z</dcterms:created>
  <dcterms:modified xsi:type="dcterms:W3CDTF">2020-06-04T00:55:28Z</dcterms:modified>
  <cp:category/>
  <cp:version/>
  <cp:contentType/>
  <cp:contentStatus/>
</cp:coreProperties>
</file>